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5 заседание 31.10.2025\445 О внесении изменений в бюджет 2025\"/>
    </mc:Choice>
  </mc:AlternateContent>
  <xr:revisionPtr revIDLastSave="0" documentId="13_ncr:1_{493AD252-3797-411A-8A8A-A37F43C747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приложение!$B$1:$I$131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9" l="1"/>
  <c r="G81" i="9"/>
  <c r="G76" i="9"/>
  <c r="F74" i="9"/>
  <c r="G67" i="9"/>
  <c r="G57" i="9"/>
  <c r="G46" i="9"/>
  <c r="G42" i="9"/>
  <c r="H130" i="9" l="1"/>
  <c r="G116" i="9"/>
  <c r="G70" i="9" l="1"/>
  <c r="G105" i="9"/>
  <c r="G98" i="9"/>
  <c r="G96" i="9"/>
  <c r="G89" i="9"/>
  <c r="I88" i="9"/>
  <c r="F79" i="9"/>
  <c r="F80" i="9"/>
  <c r="F81" i="9"/>
  <c r="G77" i="9"/>
  <c r="F66" i="9"/>
  <c r="F65" i="9"/>
  <c r="F53" i="9"/>
  <c r="G44" i="9"/>
  <c r="G43" i="9"/>
  <c r="G41" i="9"/>
  <c r="G37" i="9"/>
  <c r="F32" i="9"/>
  <c r="F31" i="9"/>
  <c r="F33" i="9"/>
  <c r="G26" i="9"/>
  <c r="G69" i="9" l="1"/>
  <c r="F69" i="9" s="1"/>
  <c r="F70" i="9"/>
  <c r="F45" i="9" l="1"/>
  <c r="G103" i="9" l="1"/>
  <c r="G78" i="9"/>
  <c r="H120" i="9" l="1"/>
  <c r="H107" i="9"/>
  <c r="G107" i="9"/>
  <c r="F110" i="9"/>
  <c r="I94" i="9"/>
  <c r="G72" i="9"/>
  <c r="G62" i="9"/>
  <c r="H38" i="9"/>
  <c r="F47" i="9"/>
  <c r="F46" i="9"/>
  <c r="G36" i="9"/>
  <c r="G22" i="9"/>
  <c r="F28" i="9"/>
  <c r="I95" i="9" l="1"/>
  <c r="G52" i="9" l="1"/>
  <c r="G51" i="9" s="1"/>
  <c r="G39" i="9" l="1"/>
  <c r="F36" i="9"/>
  <c r="F78" i="9"/>
  <c r="F93" i="9" l="1"/>
  <c r="F94" i="9"/>
  <c r="F95" i="9"/>
  <c r="F91" i="9"/>
  <c r="I90" i="9"/>
  <c r="H83" i="9"/>
  <c r="I83" i="9"/>
  <c r="F88" i="9"/>
  <c r="I82" i="9" l="1"/>
  <c r="F111" i="9" l="1"/>
  <c r="F72" i="9"/>
  <c r="G71" i="9"/>
  <c r="F71" i="9" l="1"/>
  <c r="I77" i="9" l="1"/>
  <c r="F77" i="9" s="1"/>
  <c r="I76" i="9"/>
  <c r="I73" i="9" s="1"/>
  <c r="G64" i="9"/>
  <c r="G58" i="9" s="1"/>
  <c r="H63" i="9"/>
  <c r="I44" i="9"/>
  <c r="F44" i="9" s="1"/>
  <c r="I43" i="9"/>
  <c r="F43" i="9" s="1"/>
  <c r="I42" i="9"/>
  <c r="F42" i="9" s="1"/>
  <c r="I41" i="9"/>
  <c r="F41" i="9" s="1"/>
  <c r="I40" i="9"/>
  <c r="G40" i="9"/>
  <c r="G38" i="9" s="1"/>
  <c r="I39" i="9"/>
  <c r="H22" i="9"/>
  <c r="H21" i="9" s="1"/>
  <c r="F24" i="9"/>
  <c r="F23" i="9"/>
  <c r="F76" i="9" l="1"/>
  <c r="I68" i="9"/>
  <c r="I54" i="9" s="1"/>
  <c r="F39" i="9"/>
  <c r="I38" i="9"/>
  <c r="I29" i="9" s="1"/>
  <c r="I17" i="9" s="1"/>
  <c r="F40" i="9"/>
  <c r="H29" i="9"/>
  <c r="H17" i="9" s="1"/>
  <c r="I16" i="9" l="1"/>
  <c r="I131" i="9" s="1"/>
  <c r="F87" i="9"/>
  <c r="F86" i="9"/>
  <c r="F85" i="9"/>
  <c r="F84" i="9"/>
  <c r="G102" i="9" l="1"/>
  <c r="G75" i="9"/>
  <c r="G73" i="9" s="1"/>
  <c r="G50" i="9"/>
  <c r="H100" i="9" l="1"/>
  <c r="G100" i="9"/>
  <c r="F102" i="9"/>
  <c r="F101" i="9"/>
  <c r="H75" i="9"/>
  <c r="H73" i="9" l="1"/>
  <c r="H68" i="9" s="1"/>
  <c r="H99" i="9"/>
  <c r="H92" i="9"/>
  <c r="F92" i="9" l="1"/>
  <c r="H90" i="9"/>
  <c r="H82" i="9" s="1"/>
  <c r="H129" i="9"/>
  <c r="H128" i="9" s="1"/>
  <c r="H127" i="9" s="1"/>
  <c r="F38" i="9" l="1"/>
  <c r="H56" i="9"/>
  <c r="F108" i="9" l="1"/>
  <c r="F109" i="9"/>
  <c r="F62" i="9" l="1"/>
  <c r="F64" i="9"/>
  <c r="F61" i="9"/>
  <c r="F60" i="9"/>
  <c r="F63" i="9"/>
  <c r="H106" i="9"/>
  <c r="F130" i="9"/>
  <c r="G129" i="9"/>
  <c r="G128" i="9" s="1"/>
  <c r="G127" i="9" l="1"/>
  <c r="F127" i="9" s="1"/>
  <c r="F128" i="9"/>
  <c r="F129" i="9"/>
  <c r="F103" i="9" l="1"/>
  <c r="G104" i="9" l="1"/>
  <c r="F104" i="9" s="1"/>
  <c r="F98" i="9"/>
  <c r="G97" i="9"/>
  <c r="G83" i="9"/>
  <c r="F83" i="9" s="1"/>
  <c r="F37" i="9"/>
  <c r="F96" i="9" l="1"/>
  <c r="G90" i="9"/>
  <c r="F90" i="9" s="1"/>
  <c r="F89" i="9"/>
  <c r="F105" i="9"/>
  <c r="G68" i="9"/>
  <c r="F97" i="9"/>
  <c r="F68" i="9" l="1"/>
  <c r="F73" i="9"/>
  <c r="G99" i="9"/>
  <c r="F126" i="9"/>
  <c r="F125" i="9"/>
  <c r="F124" i="9"/>
  <c r="G123" i="9"/>
  <c r="F120" i="9"/>
  <c r="F119" i="9"/>
  <c r="G118" i="9"/>
  <c r="G117" i="9" s="1"/>
  <c r="F116" i="9"/>
  <c r="F115" i="9"/>
  <c r="G114" i="9"/>
  <c r="G113" i="9" s="1"/>
  <c r="G106" i="9"/>
  <c r="F75" i="9"/>
  <c r="F67" i="9"/>
  <c r="F59" i="9"/>
  <c r="H58" i="9"/>
  <c r="H55" i="9" s="1"/>
  <c r="F57" i="9"/>
  <c r="G56" i="9"/>
  <c r="G55" i="9" s="1"/>
  <c r="F52" i="9"/>
  <c r="F50" i="9"/>
  <c r="G49" i="9"/>
  <c r="F49" i="9" s="1"/>
  <c r="F35" i="9"/>
  <c r="G34" i="9"/>
  <c r="G30" i="9" s="1"/>
  <c r="F27" i="9"/>
  <c r="F26" i="9"/>
  <c r="F25" i="9"/>
  <c r="G21" i="9"/>
  <c r="F21" i="9" s="1"/>
  <c r="F20" i="9"/>
  <c r="G19" i="9"/>
  <c r="G18" i="9" s="1"/>
  <c r="F51" i="9" l="1"/>
  <c r="G48" i="9"/>
  <c r="F48" i="9" s="1"/>
  <c r="H54" i="9"/>
  <c r="H16" i="9" s="1"/>
  <c r="H118" i="9"/>
  <c r="H117" i="9" s="1"/>
  <c r="H112" i="9" s="1"/>
  <c r="G82" i="9"/>
  <c r="G54" i="9" s="1"/>
  <c r="F58" i="9"/>
  <c r="H123" i="9"/>
  <c r="H122" i="9" s="1"/>
  <c r="H121" i="9" s="1"/>
  <c r="F100" i="9"/>
  <c r="F99" i="9"/>
  <c r="F22" i="9"/>
  <c r="G122" i="9"/>
  <c r="F107" i="9"/>
  <c r="F106" i="9"/>
  <c r="F56" i="9"/>
  <c r="G112" i="9"/>
  <c r="F113" i="9"/>
  <c r="G29" i="9"/>
  <c r="F29" i="9" s="1"/>
  <c r="F30" i="9"/>
  <c r="F18" i="9"/>
  <c r="F19" i="9"/>
  <c r="F34" i="9"/>
  <c r="F114" i="9"/>
  <c r="F54" i="9" l="1"/>
  <c r="G17" i="9"/>
  <c r="F17" i="9" s="1"/>
  <c r="F82" i="9"/>
  <c r="F118" i="9"/>
  <c r="F117" i="9"/>
  <c r="F112" i="9"/>
  <c r="H131" i="9"/>
  <c r="F55" i="9"/>
  <c r="F123" i="9"/>
  <c r="F122" i="9"/>
  <c r="G121" i="9"/>
  <c r="F121" i="9" s="1"/>
  <c r="G16" i="9" l="1"/>
  <c r="F16" i="9" s="1"/>
  <c r="G131" i="9" l="1"/>
  <c r="F131" i="9" s="1"/>
</calcChain>
</file>

<file path=xl/sharedStrings.xml><?xml version="1.0" encoding="utf-8"?>
<sst xmlns="http://schemas.openxmlformats.org/spreadsheetml/2006/main" count="343" uniqueCount="165">
  <si>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</si>
  <si>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</si>
  <si>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</si>
  <si>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</si>
  <si>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</si>
  <si>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</si>
  <si>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</si>
  <si>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</si>
  <si>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</si>
  <si>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</si>
  <si>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</si>
  <si>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</si>
  <si>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</si>
  <si>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</si>
  <si>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</si>
  <si>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</si>
  <si>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</si>
  <si>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</si>
  <si>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</si>
  <si>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</si>
  <si>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</si>
  <si>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</si>
  <si>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</si>
  <si>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</si>
  <si>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</si>
  <si>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</si>
  <si>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</si>
  <si>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</si>
  <si>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</si>
  <si>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</si>
  <si>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</si>
  <si>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</si>
  <si>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</si>
  <si>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</si>
  <si>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</si>
  <si>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</si>
  <si>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</si>
  <si>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</si>
  <si>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</si>
  <si>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</si>
  <si>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</si>
  <si>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</si>
  <si>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</si>
  <si>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</si>
  <si>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</si>
  <si>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</si>
  <si>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</si>
  <si>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</si>
  <si>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</si>
  <si>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</si>
  <si>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</si>
  <si>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</si>
  <si>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</si>
  <si>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</si>
  <si>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</si>
  <si>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</si>
  <si>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</si>
  <si>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</si>
  <si>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</si>
  <si>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</si>
  <si>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</si>
  <si>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</si>
  <si>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</si>
  <si>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</si>
  <si>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</si>
  <si>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</si>
  <si>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</si>
  <si>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</si>
  <si>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</si>
  <si>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</si>
  <si>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</si>
  <si>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</si>
  <si>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</si>
  <si>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</si>
  <si>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</si>
  <si>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</si>
  <si>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</si>
  <si>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</si>
  <si>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</si>
  <si>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</si>
  <si>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</si>
  <si>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</si>
  <si>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</si>
  <si>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</si>
  <si>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</si>
  <si>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Капитальный ремонт МАУК ДК "Комсомолец", г.Старый Оскол, бульвар Дружбы, д.1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</si>
  <si>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</si>
  <si>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</si>
  <si>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</si>
  <si>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</si>
  <si>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</si>
  <si>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</si>
  <si>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</si>
  <si>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</si>
  <si>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</si>
  <si>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</si>
  <si>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</si>
  <si>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</si>
  <si>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</si>
  <si>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</si>
  <si>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</si>
  <si>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</si>
  <si>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</si>
  <si>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</si>
  <si>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</si>
  <si>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</si>
  <si>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</si>
  <si>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</si>
  <si>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</si>
  <si>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</si>
  <si>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</si>
  <si>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</si>
  <si>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</si>
  <si>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</si>
  <si>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</si>
  <si>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</si>
  <si>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</si>
  <si>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</si>
  <si>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</si>
  <si>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</si>
  <si>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</si>
  <si>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</si>
  <si>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</si>
  <si>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</si>
  <si>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</si>
  <si>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</si>
  <si>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</si>
  <si>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</si>
  <si>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</si>
  <si>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</si>
  <si>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</si>
  <si>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</si>
  <si>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</si>
  <si>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</si>
  <si>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</si>
  <si>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</si>
  <si>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</si>
  <si>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</si>
  <si>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</si>
  <si>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МАОУ "Образовательный комплекс "Лицей № 3" имени С.П. Угаровой", мкр. Интернациональный, 1А</t>
  </si>
  <si>
    <t>1240324200</t>
  </si>
  <si>
    <t>0730124200</t>
  </si>
  <si>
    <t>тыс.рублей</t>
  </si>
  <si>
    <t>прочие поступления</t>
  </si>
  <si>
    <t>Государственная экспертиза сметной документации, проектно-сметная документация, диагностика</t>
  </si>
  <si>
    <t>Благоустройство дворовых территорий многоквартирных жилых домов г. Старый Оскол</t>
  </si>
  <si>
    <t>Водоснабжение и водоотведение</t>
  </si>
  <si>
    <t>Разработка проектно-сметной документации на объект: "Благоустройство набережной реки Оскол (3 очередь)", по адресу: Белгородская обл., г. Старый Оскол, в районе улиц Дачной, Транспортной, Стрелецкой и площади перед домом 47а по ул. Октябрьской</t>
  </si>
  <si>
    <t>1240244100</t>
  </si>
  <si>
    <t>Газоснабжение</t>
  </si>
  <si>
    <t>Капитальный ремонт МБУ "Спортивная школа "Спартак", г. Старый Оскол, микрорайон Горняк, д.22а (2 очередь)</t>
  </si>
  <si>
    <t>Благоустройство территории, обустройство тротуаров и подъездных путей для многодетных семей</t>
  </si>
  <si>
    <t>Строительство физкультурно-оздоровительного комплекса в г.Старый Оскол, мкр. Дубрава, квартал 1,19а</t>
  </si>
  <si>
    <t xml:space="preserve">Капитальный ремонт автомобильных дорог в                       c. Сорокино, ул.Тракторная, ул. Дачная, п. Аксеновка, ул. Песочная Старооскольского городского округа </t>
  </si>
  <si>
    <t>Капитальный ремонт автомобильных дорог в ИЖС "Строитель" с. Незнамово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</si>
  <si>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"Северный" в г. Старый Оскол, Старооскольского городского округа Белгородской области</t>
  </si>
  <si>
    <t>МАОУ "ЦО №1 "Академия знаний" имени Н.П. Шевченко", г. Старый Оскол, мкр. Степной, д.33</t>
  </si>
  <si>
    <t>Устройство покрытий для детских игровых площадок</t>
  </si>
  <si>
    <t>9990021500</t>
  </si>
  <si>
    <t>Выполнение работ по восстановлению домовладений</t>
  </si>
  <si>
    <t>Капитальный ремонт пешеходной дорожки в районе светофорного объекта на пересечении ул.Наседкина и ул.Щепкина г.Старый Оскол Белгородской области</t>
  </si>
  <si>
    <t>Ремонт лестничного спуска в районе мкр. Королева, д.24</t>
  </si>
  <si>
    <t>Капитальный ремонт автодорожного проезда в районе ул.Комсомольская, д.43</t>
  </si>
  <si>
    <t xml:space="preserve">                                                                                                          Приложение 6</t>
  </si>
  <si>
    <t xml:space="preserve">      от 31 октября 2025 г. № 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</si>
</sst>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5">
    <xf numFmtId="0" fontId="0" fillId="0" borderId="0" xfId="0"/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8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0" xfId="0" applyFont="1" applyFill="1" applyAlignment="1">
      <alignment horizontal="center"/>
    </xf>
    <xf numFmtId="0" fontId="2" fillId="0" borderId="1" xfId="1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4" fillId="0" borderId="0" xfId="0" applyNumberFormat="1" applyFont="1" applyFill="1"/>
    <xf numFmtId="164" fontId="2" fillId="0" borderId="0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/>
    </xf>
    <xf numFmtId="0" fontId="1" fillId="0" borderId="1" xfId="0" applyFont="1" applyFill="1" applyBorder="1"/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/>
    <xf numFmtId="0" fontId="6" fillId="0" borderId="2" xfId="0" applyFont="1" applyFill="1" applyBorder="1"/>
    <xf numFmtId="0" fontId="4" fillId="0" borderId="2" xfId="0" applyFont="1" applyFill="1" applyBorder="1"/>
    <xf numFmtId="0" fontId="1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7" fillId="0" borderId="2" xfId="0" applyFont="1" applyFill="1" applyBorder="1"/>
    <xf numFmtId="164" fontId="8" fillId="0" borderId="1" xfId="1" applyNumberFormat="1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36"/>
  <sheetViews>
    <sheetView tabSelected="1" topLeftCell="B1" zoomScale="90" zoomScaleNormal="90" zoomScaleSheetLayoutView="100" workbookViewId="0">
      <selection activeCell="Q14" sqref="Q14"/>
    </sheetView>
  </sheetViews>
  <sheetFormatPr defaultRowHeight="15.75" x14ac:dyDescent="0.25"/>
  <cols>
    <col min="1" max="1" width="3.875" style="1" hidden="1" customWidth="1"/>
    <col min="2" max="2" width="5.375" style="2" customWidth="1"/>
    <col min="3" max="3" width="13.5" style="2" customWidth="1"/>
    <col min="4" max="4" width="5.25" style="2" customWidth="1"/>
    <col min="5" max="5" width="53.625" style="67" customWidth="1"/>
    <col min="6" max="6" width="11.75" style="58" customWidth="1"/>
    <col min="7" max="7" width="10.25" style="58" customWidth="1"/>
    <col min="8" max="8" width="11.25" style="58" customWidth="1"/>
    <col min="9" max="9" width="9.875" style="1" customWidth="1"/>
    <col min="10" max="10" width="10.875" style="1" customWidth="1"/>
    <col min="11" max="11" width="10.125" style="1" customWidth="1"/>
    <col min="12" max="16384" width="9" style="1"/>
  </cols>
  <sheetData>
    <row r="1" spans="1:11" ht="16.5" x14ac:dyDescent="0.25">
      <c r="E1" s="3" t="s">
        <v>163</v>
      </c>
      <c r="F1" s="4"/>
      <c r="G1" s="4"/>
      <c r="H1" s="4"/>
    </row>
    <row r="2" spans="1:11" ht="16.5" x14ac:dyDescent="0.25">
      <c r="E2" s="3" t="s">
        <v>41</v>
      </c>
      <c r="F2" s="4"/>
      <c r="G2" s="4"/>
      <c r="H2" s="4"/>
    </row>
    <row r="3" spans="1:11" ht="16.5" x14ac:dyDescent="0.25">
      <c r="E3" s="3" t="s">
        <v>42</v>
      </c>
      <c r="F3" s="4"/>
      <c r="G3" s="4"/>
      <c r="H3" s="4"/>
    </row>
    <row r="4" spans="1:11" ht="14.25" customHeight="1" x14ac:dyDescent="0.25">
      <c r="E4" s="3"/>
      <c r="F4" s="113" t="s">
        <v>164</v>
      </c>
      <c r="G4" s="114"/>
      <c r="H4" s="114"/>
      <c r="I4" s="114"/>
    </row>
    <row r="5" spans="1:11" ht="14.25" hidden="1" customHeight="1" x14ac:dyDescent="0.25">
      <c r="E5" s="110"/>
      <c r="F5" s="110"/>
      <c r="G5" s="110"/>
      <c r="H5" s="110"/>
    </row>
    <row r="6" spans="1:11" ht="16.5" x14ac:dyDescent="0.25">
      <c r="B6" s="109" t="s">
        <v>0</v>
      </c>
      <c r="C6" s="109"/>
      <c r="D6" s="109"/>
      <c r="E6" s="109"/>
      <c r="F6" s="109"/>
      <c r="G6" s="109"/>
      <c r="H6" s="109"/>
    </row>
    <row r="7" spans="1:11" ht="16.5" x14ac:dyDescent="0.25">
      <c r="B7" s="109" t="s">
        <v>66</v>
      </c>
      <c r="C7" s="109"/>
      <c r="D7" s="109"/>
      <c r="E7" s="109"/>
      <c r="F7" s="109"/>
      <c r="G7" s="109"/>
      <c r="H7" s="109"/>
    </row>
    <row r="8" spans="1:11" s="6" customFormat="1" ht="16.5" x14ac:dyDescent="0.25">
      <c r="B8" s="109" t="s">
        <v>40</v>
      </c>
      <c r="C8" s="109"/>
      <c r="D8" s="109"/>
      <c r="E8" s="109"/>
      <c r="F8" s="109"/>
      <c r="G8" s="109"/>
      <c r="H8" s="109"/>
    </row>
    <row r="9" spans="1:11" s="6" customFormat="1" ht="16.5" x14ac:dyDescent="0.25">
      <c r="B9" s="109" t="s">
        <v>67</v>
      </c>
      <c r="C9" s="109"/>
      <c r="D9" s="109"/>
      <c r="E9" s="109"/>
      <c r="F9" s="109"/>
      <c r="G9" s="109"/>
      <c r="H9" s="109"/>
    </row>
    <row r="10" spans="1:11" s="6" customFormat="1" ht="15.75" hidden="1" customHeight="1" x14ac:dyDescent="0.25">
      <c r="B10" s="109"/>
      <c r="C10" s="109"/>
      <c r="D10" s="109"/>
      <c r="E10" s="109"/>
      <c r="F10" s="109"/>
      <c r="G10" s="109"/>
      <c r="H10" s="109"/>
    </row>
    <row r="11" spans="1:11" ht="21" customHeight="1" x14ac:dyDescent="0.25">
      <c r="B11" s="5"/>
      <c r="C11" s="5"/>
      <c r="D11" s="5"/>
      <c r="E11" s="3"/>
      <c r="F11" s="7"/>
      <c r="G11" s="7"/>
      <c r="H11" s="8"/>
      <c r="I11" s="1" t="s">
        <v>142</v>
      </c>
    </row>
    <row r="12" spans="1:11" ht="16.5" customHeight="1" x14ac:dyDescent="0.25">
      <c r="B12" s="99" t="s">
        <v>1</v>
      </c>
      <c r="C12" s="99"/>
      <c r="D12" s="99"/>
      <c r="E12" s="102" t="s">
        <v>39</v>
      </c>
      <c r="F12" s="102" t="s">
        <v>43</v>
      </c>
      <c r="G12" s="99" t="s">
        <v>2</v>
      </c>
      <c r="H12" s="99"/>
      <c r="I12" s="99"/>
    </row>
    <row r="13" spans="1:11" ht="15.75" customHeight="1" x14ac:dyDescent="0.25">
      <c r="B13" s="102" t="s">
        <v>36</v>
      </c>
      <c r="C13" s="102" t="s">
        <v>3</v>
      </c>
      <c r="D13" s="102" t="s">
        <v>4</v>
      </c>
      <c r="E13" s="102"/>
      <c r="F13" s="102"/>
      <c r="G13" s="102" t="s">
        <v>5</v>
      </c>
      <c r="H13" s="102" t="s">
        <v>6</v>
      </c>
      <c r="I13" s="102" t="s">
        <v>143</v>
      </c>
    </row>
    <row r="14" spans="1:11" ht="117.75" customHeight="1" x14ac:dyDescent="0.25">
      <c r="B14" s="102"/>
      <c r="C14" s="102"/>
      <c r="D14" s="102"/>
      <c r="E14" s="102"/>
      <c r="F14" s="102"/>
      <c r="G14" s="102"/>
      <c r="H14" s="102"/>
      <c r="I14" s="102"/>
    </row>
    <row r="15" spans="1:11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</row>
    <row r="16" spans="1:11" s="13" customFormat="1" ht="28.5" customHeight="1" x14ac:dyDescent="0.25">
      <c r="A16" s="83"/>
      <c r="B16" s="111" t="s">
        <v>44</v>
      </c>
      <c r="C16" s="111"/>
      <c r="D16" s="111"/>
      <c r="E16" s="111"/>
      <c r="F16" s="11">
        <f>SUM(G16+H16+I16)</f>
        <v>1504819.2</v>
      </c>
      <c r="G16" s="11">
        <f>G17+G54</f>
        <v>451060.8</v>
      </c>
      <c r="H16" s="11">
        <f>H17+H54</f>
        <v>933006.4</v>
      </c>
      <c r="I16" s="11">
        <f>I17+I54</f>
        <v>120752</v>
      </c>
      <c r="J16" s="12"/>
      <c r="K16" s="12"/>
    </row>
    <row r="17" spans="1:11" s="13" customFormat="1" ht="27" customHeight="1" x14ac:dyDescent="0.25">
      <c r="A17" s="83"/>
      <c r="B17" s="112" t="s">
        <v>46</v>
      </c>
      <c r="C17" s="112"/>
      <c r="D17" s="112"/>
      <c r="E17" s="112"/>
      <c r="F17" s="14">
        <f>G17+H17+I17</f>
        <v>455333.8</v>
      </c>
      <c r="G17" s="14">
        <f>G18+G21+G29+G48</f>
        <v>347141.5</v>
      </c>
      <c r="H17" s="14">
        <f>H18+H21+H29+H48</f>
        <v>107620.3</v>
      </c>
      <c r="I17" s="14">
        <f t="shared" ref="I17" si="0">I18+I21+I29+I48</f>
        <v>572</v>
      </c>
      <c r="J17" s="12"/>
      <c r="K17" s="12"/>
    </row>
    <row r="18" spans="1:11" s="13" customFormat="1" ht="40.5" customHeight="1" x14ac:dyDescent="0.25">
      <c r="A18" s="83"/>
      <c r="B18" s="72" t="s">
        <v>59</v>
      </c>
      <c r="C18" s="72"/>
      <c r="D18" s="72"/>
      <c r="E18" s="72" t="s">
        <v>63</v>
      </c>
      <c r="F18" s="11">
        <f t="shared" ref="F18:F119" si="1">G18+H18</f>
        <v>5000</v>
      </c>
      <c r="G18" s="14">
        <f>G19</f>
        <v>5000</v>
      </c>
      <c r="H18" s="14"/>
      <c r="I18" s="10"/>
      <c r="J18" s="12"/>
      <c r="K18" s="12"/>
    </row>
    <row r="19" spans="1:11" s="13" customFormat="1" ht="41.25" customHeight="1" x14ac:dyDescent="0.25">
      <c r="A19" s="83"/>
      <c r="B19" s="72" t="s">
        <v>60</v>
      </c>
      <c r="C19" s="72"/>
      <c r="D19" s="72"/>
      <c r="E19" s="72" t="s">
        <v>64</v>
      </c>
      <c r="F19" s="11">
        <f t="shared" si="1"/>
        <v>5000</v>
      </c>
      <c r="G19" s="14">
        <f>G20</f>
        <v>5000</v>
      </c>
      <c r="H19" s="14"/>
      <c r="I19" s="10"/>
      <c r="J19" s="12"/>
      <c r="K19" s="12"/>
    </row>
    <row r="20" spans="1:11" s="13" customFormat="1" ht="89.25" customHeight="1" x14ac:dyDescent="0.25">
      <c r="A20" s="83"/>
      <c r="B20" s="15" t="s">
        <v>60</v>
      </c>
      <c r="C20" s="76" t="s">
        <v>65</v>
      </c>
      <c r="D20" s="76" t="s">
        <v>11</v>
      </c>
      <c r="E20" s="15" t="s">
        <v>61</v>
      </c>
      <c r="F20" s="16">
        <f t="shared" si="1"/>
        <v>5000</v>
      </c>
      <c r="G20" s="17">
        <v>5000</v>
      </c>
      <c r="H20" s="17"/>
      <c r="I20" s="10"/>
      <c r="J20" s="12"/>
      <c r="K20" s="12"/>
    </row>
    <row r="21" spans="1:11" s="13" customFormat="1" ht="30.75" customHeight="1" x14ac:dyDescent="0.25">
      <c r="A21" s="83"/>
      <c r="B21" s="18" t="s">
        <v>7</v>
      </c>
      <c r="C21" s="18"/>
      <c r="D21" s="18"/>
      <c r="E21" s="19" t="s">
        <v>8</v>
      </c>
      <c r="F21" s="14">
        <f>G21+H21</f>
        <v>102773.90000000001</v>
      </c>
      <c r="G21" s="14">
        <f>G22</f>
        <v>15253.6</v>
      </c>
      <c r="H21" s="14">
        <f>H22</f>
        <v>87520.3</v>
      </c>
      <c r="I21" s="10"/>
      <c r="J21" s="12"/>
      <c r="K21" s="12"/>
    </row>
    <row r="22" spans="1:11" s="13" customFormat="1" ht="29.25" customHeight="1" x14ac:dyDescent="0.25">
      <c r="A22" s="83"/>
      <c r="B22" s="18" t="s">
        <v>9</v>
      </c>
      <c r="C22" s="18"/>
      <c r="D22" s="18"/>
      <c r="E22" s="19" t="s">
        <v>10</v>
      </c>
      <c r="F22" s="14">
        <f>G22+H22</f>
        <v>102773.90000000001</v>
      </c>
      <c r="G22" s="14">
        <f>G25+G26+G27+G23+G24+G28</f>
        <v>15253.6</v>
      </c>
      <c r="H22" s="14">
        <f>H25+H26+H27+H23+H24</f>
        <v>87520.3</v>
      </c>
      <c r="I22" s="10"/>
      <c r="J22" s="12"/>
      <c r="K22" s="12"/>
    </row>
    <row r="23" spans="1:11" s="13" customFormat="1" ht="32.25" customHeight="1" x14ac:dyDescent="0.25">
      <c r="A23" s="83"/>
      <c r="B23" s="95" t="s">
        <v>9</v>
      </c>
      <c r="C23" s="76" t="s">
        <v>137</v>
      </c>
      <c r="D23" s="95" t="s">
        <v>11</v>
      </c>
      <c r="E23" s="96" t="s">
        <v>136</v>
      </c>
      <c r="F23" s="17">
        <f>G23+H23</f>
        <v>87520.3</v>
      </c>
      <c r="G23" s="17"/>
      <c r="H23" s="17">
        <v>87520.3</v>
      </c>
      <c r="I23" s="10"/>
      <c r="J23" s="12"/>
      <c r="K23" s="12"/>
    </row>
    <row r="24" spans="1:11" s="13" customFormat="1" ht="30" customHeight="1" x14ac:dyDescent="0.25">
      <c r="A24" s="83"/>
      <c r="B24" s="95"/>
      <c r="C24" s="76" t="s">
        <v>138</v>
      </c>
      <c r="D24" s="95"/>
      <c r="E24" s="96"/>
      <c r="F24" s="17">
        <f>G24+H24</f>
        <v>6587.5</v>
      </c>
      <c r="G24" s="17">
        <v>6587.5</v>
      </c>
      <c r="H24" s="17"/>
      <c r="I24" s="10"/>
      <c r="J24" s="12"/>
      <c r="K24" s="12"/>
    </row>
    <row r="25" spans="1:11" s="13" customFormat="1" ht="69" customHeight="1" x14ac:dyDescent="0.25">
      <c r="A25" s="83"/>
      <c r="B25" s="76" t="s">
        <v>9</v>
      </c>
      <c r="C25" s="76" t="s">
        <v>47</v>
      </c>
      <c r="D25" s="76" t="s">
        <v>12</v>
      </c>
      <c r="E25" s="80" t="s">
        <v>84</v>
      </c>
      <c r="F25" s="17">
        <f>G25+H25</f>
        <v>2651.3</v>
      </c>
      <c r="G25" s="17">
        <v>2651.3</v>
      </c>
      <c r="H25" s="17"/>
      <c r="I25" s="10"/>
      <c r="J25" s="12"/>
      <c r="K25" s="12"/>
    </row>
    <row r="26" spans="1:11" s="13" customFormat="1" ht="64.5" customHeight="1" x14ac:dyDescent="0.25">
      <c r="A26" s="83"/>
      <c r="B26" s="76" t="s">
        <v>9</v>
      </c>
      <c r="C26" s="76" t="s">
        <v>47</v>
      </c>
      <c r="D26" s="76" t="s">
        <v>12</v>
      </c>
      <c r="E26" s="80" t="s">
        <v>75</v>
      </c>
      <c r="F26" s="17">
        <f t="shared" ref="F26:F28" si="2">G26+H26</f>
        <v>5294.8</v>
      </c>
      <c r="G26" s="17">
        <f>5571.8-277</f>
        <v>5294.8</v>
      </c>
      <c r="H26" s="17"/>
      <c r="I26" s="10"/>
      <c r="J26" s="12"/>
      <c r="K26" s="12"/>
    </row>
    <row r="27" spans="1:11" s="13" customFormat="1" ht="59.25" customHeight="1" x14ac:dyDescent="0.25">
      <c r="A27" s="83"/>
      <c r="B27" s="76" t="s">
        <v>9</v>
      </c>
      <c r="C27" s="76" t="s">
        <v>47</v>
      </c>
      <c r="D27" s="76" t="s">
        <v>12</v>
      </c>
      <c r="E27" s="80" t="s">
        <v>79</v>
      </c>
      <c r="F27" s="17">
        <f t="shared" si="2"/>
        <v>320</v>
      </c>
      <c r="G27" s="17">
        <v>320</v>
      </c>
      <c r="H27" s="17"/>
      <c r="I27" s="10"/>
      <c r="J27" s="12"/>
      <c r="K27" s="12"/>
    </row>
    <row r="28" spans="1:11" s="13" customFormat="1" ht="59.25" customHeight="1" x14ac:dyDescent="0.25">
      <c r="A28" s="83"/>
      <c r="B28" s="76" t="s">
        <v>9</v>
      </c>
      <c r="C28" s="76" t="s">
        <v>47</v>
      </c>
      <c r="D28" s="76" t="s">
        <v>12</v>
      </c>
      <c r="E28" s="80" t="s">
        <v>62</v>
      </c>
      <c r="F28" s="17">
        <f t="shared" si="2"/>
        <v>400</v>
      </c>
      <c r="G28" s="17">
        <v>400</v>
      </c>
      <c r="H28" s="17"/>
      <c r="I28" s="10"/>
      <c r="J28" s="12"/>
      <c r="K28" s="12"/>
    </row>
    <row r="29" spans="1:11" s="13" customFormat="1" ht="27" customHeight="1" x14ac:dyDescent="0.25">
      <c r="A29" s="83"/>
      <c r="B29" s="18" t="s">
        <v>13</v>
      </c>
      <c r="C29" s="18"/>
      <c r="D29" s="18"/>
      <c r="E29" s="19" t="s">
        <v>14</v>
      </c>
      <c r="F29" s="11">
        <f>G29+H29+I29</f>
        <v>121007.5</v>
      </c>
      <c r="G29" s="11">
        <f>G30+G38</f>
        <v>100335.5</v>
      </c>
      <c r="H29" s="11">
        <f t="shared" ref="H29:I29" si="3">H30+H38</f>
        <v>20100</v>
      </c>
      <c r="I29" s="11">
        <f t="shared" si="3"/>
        <v>572</v>
      </c>
      <c r="J29" s="20"/>
      <c r="K29" s="12"/>
    </row>
    <row r="30" spans="1:11" s="13" customFormat="1" ht="28.5" customHeight="1" x14ac:dyDescent="0.25">
      <c r="A30" s="83"/>
      <c r="B30" s="21" t="s">
        <v>55</v>
      </c>
      <c r="C30" s="74"/>
      <c r="D30" s="74"/>
      <c r="E30" s="75" t="s">
        <v>56</v>
      </c>
      <c r="F30" s="11">
        <f t="shared" si="1"/>
        <v>48265.700000000004</v>
      </c>
      <c r="G30" s="11">
        <f>SUM(G31:G37)</f>
        <v>48265.700000000004</v>
      </c>
      <c r="H30" s="11"/>
      <c r="I30" s="11"/>
      <c r="J30" s="20"/>
      <c r="K30" s="12"/>
    </row>
    <row r="31" spans="1:11" s="25" customFormat="1" ht="30" customHeight="1" x14ac:dyDescent="0.25">
      <c r="A31" s="84"/>
      <c r="B31" s="94" t="s">
        <v>55</v>
      </c>
      <c r="C31" s="95" t="s">
        <v>111</v>
      </c>
      <c r="D31" s="79" t="s">
        <v>11</v>
      </c>
      <c r="E31" s="98" t="s">
        <v>88</v>
      </c>
      <c r="F31" s="17">
        <f t="shared" si="1"/>
        <v>404</v>
      </c>
      <c r="G31" s="16">
        <v>404</v>
      </c>
      <c r="H31" s="16"/>
      <c r="I31" s="22"/>
      <c r="J31" s="23"/>
      <c r="K31" s="24"/>
    </row>
    <row r="32" spans="1:11" s="25" customFormat="1" ht="30" customHeight="1" x14ac:dyDescent="0.25">
      <c r="A32" s="84"/>
      <c r="B32" s="94"/>
      <c r="C32" s="95"/>
      <c r="D32" s="79" t="s">
        <v>12</v>
      </c>
      <c r="E32" s="98"/>
      <c r="F32" s="17">
        <f t="shared" si="1"/>
        <v>226</v>
      </c>
      <c r="G32" s="16">
        <v>226</v>
      </c>
      <c r="H32" s="16"/>
      <c r="I32" s="22"/>
      <c r="J32" s="23"/>
      <c r="K32" s="24"/>
    </row>
    <row r="33" spans="1:11" s="25" customFormat="1" ht="30" customHeight="1" x14ac:dyDescent="0.25">
      <c r="A33" s="84"/>
      <c r="B33" s="79" t="s">
        <v>55</v>
      </c>
      <c r="C33" s="76" t="s">
        <v>111</v>
      </c>
      <c r="D33" s="79" t="s">
        <v>11</v>
      </c>
      <c r="E33" s="80" t="s">
        <v>149</v>
      </c>
      <c r="F33" s="17">
        <f t="shared" ref="F33:F37" si="4">G33+H33</f>
        <v>100</v>
      </c>
      <c r="G33" s="16">
        <v>100</v>
      </c>
      <c r="H33" s="16"/>
      <c r="I33" s="22"/>
      <c r="J33" s="23"/>
      <c r="K33" s="24"/>
    </row>
    <row r="34" spans="1:11" s="13" customFormat="1" ht="32.25" customHeight="1" x14ac:dyDescent="0.25">
      <c r="A34" s="83"/>
      <c r="B34" s="79" t="s">
        <v>55</v>
      </c>
      <c r="C34" s="76" t="s">
        <v>111</v>
      </c>
      <c r="D34" s="79" t="s">
        <v>11</v>
      </c>
      <c r="E34" s="80" t="s">
        <v>57</v>
      </c>
      <c r="F34" s="17">
        <f t="shared" si="4"/>
        <v>20000</v>
      </c>
      <c r="G34" s="17">
        <f>20000</f>
        <v>20000</v>
      </c>
      <c r="H34" s="17"/>
      <c r="I34" s="10"/>
      <c r="J34" s="20"/>
      <c r="K34" s="12"/>
    </row>
    <row r="35" spans="1:11" s="13" customFormat="1" ht="32.25" customHeight="1" x14ac:dyDescent="0.25">
      <c r="A35" s="83"/>
      <c r="B35" s="79" t="s">
        <v>55</v>
      </c>
      <c r="C35" s="76" t="s">
        <v>111</v>
      </c>
      <c r="D35" s="79" t="s">
        <v>11</v>
      </c>
      <c r="E35" s="80" t="s">
        <v>58</v>
      </c>
      <c r="F35" s="17">
        <f t="shared" si="4"/>
        <v>9300</v>
      </c>
      <c r="G35" s="17">
        <v>9300</v>
      </c>
      <c r="H35" s="17"/>
      <c r="I35" s="10"/>
      <c r="J35" s="20"/>
      <c r="K35" s="12"/>
    </row>
    <row r="36" spans="1:11" s="13" customFormat="1" ht="32.25" customHeight="1" x14ac:dyDescent="0.25">
      <c r="A36" s="83"/>
      <c r="B36" s="79" t="s">
        <v>55</v>
      </c>
      <c r="C36" s="76" t="s">
        <v>111</v>
      </c>
      <c r="D36" s="79" t="s">
        <v>11</v>
      </c>
      <c r="E36" s="80" t="s">
        <v>146</v>
      </c>
      <c r="F36" s="17">
        <f t="shared" si="4"/>
        <v>17601.900000000001</v>
      </c>
      <c r="G36" s="17">
        <f>4500-4500+16586.9+4121-3106</f>
        <v>17601.900000000001</v>
      </c>
      <c r="H36" s="17"/>
      <c r="I36" s="10"/>
      <c r="J36" s="20"/>
      <c r="K36" s="12"/>
    </row>
    <row r="37" spans="1:11" s="13" customFormat="1" ht="32.25" customHeight="1" x14ac:dyDescent="0.25">
      <c r="A37" s="83"/>
      <c r="B37" s="79" t="s">
        <v>55</v>
      </c>
      <c r="C37" s="76" t="s">
        <v>111</v>
      </c>
      <c r="D37" s="79" t="s">
        <v>11</v>
      </c>
      <c r="E37" s="80" t="s">
        <v>87</v>
      </c>
      <c r="F37" s="17">
        <f t="shared" si="4"/>
        <v>633.79999999999995</v>
      </c>
      <c r="G37" s="17">
        <f>5000-4121-220-25.2</f>
        <v>633.79999999999995</v>
      </c>
      <c r="H37" s="17"/>
      <c r="I37" s="10"/>
      <c r="J37" s="20"/>
      <c r="K37" s="12"/>
    </row>
    <row r="38" spans="1:11" s="13" customFormat="1" ht="27.75" customHeight="1" x14ac:dyDescent="0.25">
      <c r="A38" s="83"/>
      <c r="B38" s="18" t="s">
        <v>15</v>
      </c>
      <c r="C38" s="18"/>
      <c r="D38" s="18"/>
      <c r="E38" s="19" t="s">
        <v>16</v>
      </c>
      <c r="F38" s="11">
        <f>G38+H38+I38</f>
        <v>72741.8</v>
      </c>
      <c r="G38" s="11">
        <f>SUM(G39:G47)</f>
        <v>52069.8</v>
      </c>
      <c r="H38" s="11">
        <f t="shared" ref="H38:I38" si="5">SUM(H39:H47)</f>
        <v>20100</v>
      </c>
      <c r="I38" s="11">
        <f t="shared" si="5"/>
        <v>572</v>
      </c>
      <c r="J38" s="12"/>
      <c r="K38" s="12"/>
    </row>
    <row r="39" spans="1:11" s="13" customFormat="1" ht="45.75" customHeight="1" x14ac:dyDescent="0.25">
      <c r="A39" s="83"/>
      <c r="B39" s="76" t="s">
        <v>15</v>
      </c>
      <c r="C39" s="79" t="s">
        <v>112</v>
      </c>
      <c r="D39" s="76" t="s">
        <v>11</v>
      </c>
      <c r="E39" s="81" t="s">
        <v>80</v>
      </c>
      <c r="F39" s="16">
        <f>G39+H39+I39</f>
        <v>10674.7</v>
      </c>
      <c r="G39" s="16">
        <f>7324.7-16</f>
        <v>7308.7</v>
      </c>
      <c r="H39" s="16">
        <v>3350</v>
      </c>
      <c r="I39" s="26">
        <f>1+15</f>
        <v>16</v>
      </c>
      <c r="J39" s="12"/>
      <c r="K39" s="12"/>
    </row>
    <row r="40" spans="1:11" s="13" customFormat="1" ht="40.5" customHeight="1" x14ac:dyDescent="0.25">
      <c r="A40" s="83"/>
      <c r="B40" s="76" t="s">
        <v>15</v>
      </c>
      <c r="C40" s="79" t="s">
        <v>113</v>
      </c>
      <c r="D40" s="76" t="s">
        <v>12</v>
      </c>
      <c r="E40" s="81" t="s">
        <v>132</v>
      </c>
      <c r="F40" s="16">
        <f t="shared" ref="F40:F47" si="6">G40+H40+I40</f>
        <v>8394.9</v>
      </c>
      <c r="G40" s="16">
        <f>5044.9-41</f>
        <v>5003.8999999999996</v>
      </c>
      <c r="H40" s="16">
        <v>3350</v>
      </c>
      <c r="I40" s="26">
        <f>21+20</f>
        <v>41</v>
      </c>
      <c r="J40" s="12"/>
      <c r="K40" s="12"/>
    </row>
    <row r="41" spans="1:11" s="13" customFormat="1" ht="59.25" customHeight="1" x14ac:dyDescent="0.25">
      <c r="A41" s="83"/>
      <c r="B41" s="76" t="s">
        <v>15</v>
      </c>
      <c r="C41" s="79" t="s">
        <v>114</v>
      </c>
      <c r="D41" s="76" t="s">
        <v>11</v>
      </c>
      <c r="E41" s="81" t="s">
        <v>94</v>
      </c>
      <c r="F41" s="16">
        <f t="shared" si="6"/>
        <v>9806.7000000000007</v>
      </c>
      <c r="G41" s="16">
        <f>8849.8-20-1500-710.4-182.7</f>
        <v>6436.7</v>
      </c>
      <c r="H41" s="16">
        <v>3350</v>
      </c>
      <c r="I41" s="26">
        <f>10+10</f>
        <v>20</v>
      </c>
      <c r="J41" s="12"/>
      <c r="K41" s="12"/>
    </row>
    <row r="42" spans="1:11" s="13" customFormat="1" ht="54.75" customHeight="1" x14ac:dyDescent="0.25">
      <c r="A42" s="83"/>
      <c r="B42" s="76" t="s">
        <v>15</v>
      </c>
      <c r="C42" s="79" t="s">
        <v>115</v>
      </c>
      <c r="D42" s="76" t="s">
        <v>12</v>
      </c>
      <c r="E42" s="80" t="s">
        <v>135</v>
      </c>
      <c r="F42" s="16">
        <f t="shared" si="6"/>
        <v>17577</v>
      </c>
      <c r="G42" s="16">
        <f>20384.7+100+60-160-4780-1571.3+33.6</f>
        <v>14067.000000000002</v>
      </c>
      <c r="H42" s="16">
        <v>3350</v>
      </c>
      <c r="I42" s="26">
        <f>60+100</f>
        <v>160</v>
      </c>
      <c r="J42" s="12"/>
      <c r="K42" s="12"/>
    </row>
    <row r="43" spans="1:11" s="13" customFormat="1" ht="55.5" customHeight="1" x14ac:dyDescent="0.25">
      <c r="A43" s="83"/>
      <c r="B43" s="27" t="s">
        <v>15</v>
      </c>
      <c r="C43" s="79" t="s">
        <v>116</v>
      </c>
      <c r="D43" s="76" t="s">
        <v>12</v>
      </c>
      <c r="E43" s="80" t="s">
        <v>81</v>
      </c>
      <c r="F43" s="16">
        <f t="shared" si="6"/>
        <v>11080.400000000001</v>
      </c>
      <c r="G43" s="16">
        <f>8695.7-315-690+192-467.3</f>
        <v>7415.4000000000005</v>
      </c>
      <c r="H43" s="16">
        <v>3350</v>
      </c>
      <c r="I43" s="26">
        <f>165+150</f>
        <v>315</v>
      </c>
      <c r="J43" s="12"/>
      <c r="K43" s="12"/>
    </row>
    <row r="44" spans="1:11" s="13" customFormat="1" ht="57.75" customHeight="1" x14ac:dyDescent="0.25">
      <c r="A44" s="83"/>
      <c r="B44" s="27" t="s">
        <v>15</v>
      </c>
      <c r="C44" s="79" t="s">
        <v>117</v>
      </c>
      <c r="D44" s="76" t="s">
        <v>12</v>
      </c>
      <c r="E44" s="80" t="s">
        <v>82</v>
      </c>
      <c r="F44" s="16">
        <f t="shared" si="6"/>
        <v>8138.1</v>
      </c>
      <c r="G44" s="16">
        <f>4898.8-5-15-110.7</f>
        <v>4768.1000000000004</v>
      </c>
      <c r="H44" s="16">
        <v>3350</v>
      </c>
      <c r="I44" s="16">
        <f>5+15</f>
        <v>20</v>
      </c>
      <c r="J44" s="12"/>
      <c r="K44" s="12"/>
    </row>
    <row r="45" spans="1:11" s="13" customFormat="1" ht="38.25" customHeight="1" x14ac:dyDescent="0.25">
      <c r="A45" s="83"/>
      <c r="B45" s="27" t="s">
        <v>15</v>
      </c>
      <c r="C45" s="79" t="s">
        <v>148</v>
      </c>
      <c r="D45" s="76" t="s">
        <v>12</v>
      </c>
      <c r="E45" s="80" t="s">
        <v>157</v>
      </c>
      <c r="F45" s="16">
        <f t="shared" si="6"/>
        <v>4800</v>
      </c>
      <c r="G45" s="16">
        <v>4800</v>
      </c>
      <c r="H45" s="16"/>
      <c r="I45" s="16"/>
      <c r="J45" s="12"/>
      <c r="K45" s="12"/>
    </row>
    <row r="46" spans="1:11" s="13" customFormat="1" ht="53.25" customHeight="1" x14ac:dyDescent="0.25">
      <c r="A46" s="83"/>
      <c r="B46" s="27" t="s">
        <v>15</v>
      </c>
      <c r="C46" s="79" t="s">
        <v>148</v>
      </c>
      <c r="D46" s="76" t="s">
        <v>11</v>
      </c>
      <c r="E46" s="80" t="s">
        <v>151</v>
      </c>
      <c r="F46" s="16">
        <f t="shared" si="6"/>
        <v>2250</v>
      </c>
      <c r="G46" s="16">
        <f>3236-986</f>
        <v>2250</v>
      </c>
      <c r="H46" s="16"/>
      <c r="I46" s="16"/>
      <c r="J46" s="12"/>
      <c r="K46" s="12"/>
    </row>
    <row r="47" spans="1:11" s="13" customFormat="1" ht="53.25" customHeight="1" x14ac:dyDescent="0.25">
      <c r="A47" s="83"/>
      <c r="B47" s="27" t="s">
        <v>15</v>
      </c>
      <c r="C47" s="79" t="s">
        <v>148</v>
      </c>
      <c r="D47" s="76" t="s">
        <v>11</v>
      </c>
      <c r="E47" s="80" t="s">
        <v>62</v>
      </c>
      <c r="F47" s="16">
        <f t="shared" si="6"/>
        <v>20</v>
      </c>
      <c r="G47" s="16">
        <v>20</v>
      </c>
      <c r="H47" s="16"/>
      <c r="I47" s="16"/>
      <c r="J47" s="12"/>
      <c r="K47" s="12"/>
    </row>
    <row r="48" spans="1:11" s="13" customFormat="1" ht="29.25" customHeight="1" x14ac:dyDescent="0.25">
      <c r="A48" s="83"/>
      <c r="B48" s="28" t="s">
        <v>53</v>
      </c>
      <c r="C48" s="29"/>
      <c r="D48" s="30"/>
      <c r="E48" s="31" t="s">
        <v>54</v>
      </c>
      <c r="F48" s="11">
        <f>G48+H48</f>
        <v>226552.40000000002</v>
      </c>
      <c r="G48" s="11">
        <f>G51+G49</f>
        <v>226552.40000000002</v>
      </c>
      <c r="H48" s="17"/>
      <c r="I48" s="10"/>
      <c r="J48" s="12"/>
      <c r="K48" s="12"/>
    </row>
    <row r="49" spans="1:252" s="13" customFormat="1" ht="29.25" customHeight="1" x14ac:dyDescent="0.25">
      <c r="A49" s="83"/>
      <c r="B49" s="18" t="s">
        <v>68</v>
      </c>
      <c r="C49" s="32"/>
      <c r="D49" s="33"/>
      <c r="E49" s="74" t="s">
        <v>69</v>
      </c>
      <c r="F49" s="11">
        <f t="shared" ref="F49" si="7">G49+H49</f>
        <v>207801.2</v>
      </c>
      <c r="G49" s="11">
        <f>G50</f>
        <v>207801.2</v>
      </c>
      <c r="H49" s="17"/>
      <c r="I49" s="10"/>
      <c r="J49" s="12"/>
      <c r="K49" s="12"/>
    </row>
    <row r="50" spans="1:252" s="13" customFormat="1" ht="57.75" customHeight="1" x14ac:dyDescent="0.25">
      <c r="A50" s="83"/>
      <c r="B50" s="34">
        <v>1102</v>
      </c>
      <c r="C50" s="79" t="s">
        <v>110</v>
      </c>
      <c r="D50" s="34">
        <v>400</v>
      </c>
      <c r="E50" s="35" t="s">
        <v>70</v>
      </c>
      <c r="F50" s="16">
        <f>G50+H50</f>
        <v>207801.2</v>
      </c>
      <c r="G50" s="16">
        <f>50000+157801.2</f>
        <v>207801.2</v>
      </c>
      <c r="H50" s="17"/>
      <c r="I50" s="10"/>
      <c r="J50" s="12"/>
      <c r="K50" s="12"/>
    </row>
    <row r="51" spans="1:252" s="13" customFormat="1" ht="38.25" customHeight="1" x14ac:dyDescent="0.25">
      <c r="A51" s="83"/>
      <c r="B51" s="18" t="s">
        <v>49</v>
      </c>
      <c r="C51" s="18"/>
      <c r="D51" s="18"/>
      <c r="E51" s="75" t="s">
        <v>50</v>
      </c>
      <c r="F51" s="11">
        <f>G51+H51</f>
        <v>18751.199999999997</v>
      </c>
      <c r="G51" s="11">
        <f>G52+G53</f>
        <v>18751.199999999997</v>
      </c>
      <c r="H51" s="17"/>
      <c r="I51" s="10"/>
      <c r="J51" s="12"/>
      <c r="K51" s="12"/>
    </row>
    <row r="52" spans="1:252" s="13" customFormat="1" ht="54.75" customHeight="1" x14ac:dyDescent="0.25">
      <c r="A52" s="83"/>
      <c r="B52" s="76">
        <v>1105</v>
      </c>
      <c r="C52" s="76" t="s">
        <v>110</v>
      </c>
      <c r="D52" s="76">
        <v>400</v>
      </c>
      <c r="E52" s="36" t="s">
        <v>152</v>
      </c>
      <c r="F52" s="16">
        <f>G52+H52</f>
        <v>18725.999999999996</v>
      </c>
      <c r="G52" s="16">
        <f>37868-4976.3-14165.7</f>
        <v>18725.999999999996</v>
      </c>
      <c r="H52" s="17"/>
      <c r="I52" s="10"/>
      <c r="J52" s="12"/>
      <c r="K52" s="12"/>
    </row>
    <row r="53" spans="1:252" s="13" customFormat="1" ht="54.75" customHeight="1" x14ac:dyDescent="0.25">
      <c r="A53" s="83"/>
      <c r="B53" s="76">
        <v>1105</v>
      </c>
      <c r="C53" s="76" t="s">
        <v>110</v>
      </c>
      <c r="D53" s="76">
        <v>400</v>
      </c>
      <c r="E53" s="80" t="s">
        <v>62</v>
      </c>
      <c r="F53" s="16">
        <f>G53+H53</f>
        <v>25.2</v>
      </c>
      <c r="G53" s="16">
        <v>25.2</v>
      </c>
      <c r="H53" s="17"/>
      <c r="I53" s="10"/>
      <c r="J53" s="12"/>
      <c r="K53" s="12"/>
    </row>
    <row r="54" spans="1:252" s="13" customFormat="1" ht="30" customHeight="1" x14ac:dyDescent="0.25">
      <c r="A54" s="83"/>
      <c r="B54" s="97" t="s">
        <v>45</v>
      </c>
      <c r="C54" s="97"/>
      <c r="D54" s="97"/>
      <c r="E54" s="97"/>
      <c r="F54" s="11">
        <f>G54+H54+I54</f>
        <v>1049485.3999999999</v>
      </c>
      <c r="G54" s="11">
        <f>G55+G68+G82+G99+G106</f>
        <v>103919.3</v>
      </c>
      <c r="H54" s="11">
        <f>H55+H68+H82+H99+H106</f>
        <v>825386.1</v>
      </c>
      <c r="I54" s="11">
        <f>I55+I68+I82+I99+I106</f>
        <v>120180</v>
      </c>
      <c r="J54" s="12"/>
      <c r="K54" s="12"/>
    </row>
    <row r="55" spans="1:252" ht="29.25" customHeight="1" x14ac:dyDescent="0.25">
      <c r="A55" s="85"/>
      <c r="B55" s="21" t="s">
        <v>7</v>
      </c>
      <c r="C55" s="21"/>
      <c r="D55" s="34"/>
      <c r="E55" s="74" t="s">
        <v>8</v>
      </c>
      <c r="F55" s="14">
        <f t="shared" si="1"/>
        <v>298001.59999999998</v>
      </c>
      <c r="G55" s="11">
        <f>G56+G58</f>
        <v>30254.3</v>
      </c>
      <c r="H55" s="11">
        <f>H56+H58</f>
        <v>267747.3</v>
      </c>
      <c r="I55" s="76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</row>
    <row r="56" spans="1:252" ht="29.25" customHeight="1" x14ac:dyDescent="0.25">
      <c r="A56" s="85"/>
      <c r="B56" s="21" t="s">
        <v>72</v>
      </c>
      <c r="C56" s="21"/>
      <c r="D56" s="34"/>
      <c r="E56" s="74" t="s">
        <v>73</v>
      </c>
      <c r="F56" s="11">
        <f t="shared" si="1"/>
        <v>10842</v>
      </c>
      <c r="G56" s="11">
        <f>G57</f>
        <v>888.3</v>
      </c>
      <c r="H56" s="11">
        <f>H57</f>
        <v>9953.7000000000007</v>
      </c>
      <c r="I56" s="76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</row>
    <row r="57" spans="1:252" s="2" customFormat="1" ht="69.75" customHeight="1" x14ac:dyDescent="0.25">
      <c r="A57" s="85"/>
      <c r="B57" s="79" t="s">
        <v>72</v>
      </c>
      <c r="C57" s="79" t="s">
        <v>118</v>
      </c>
      <c r="D57" s="34">
        <v>200</v>
      </c>
      <c r="E57" s="78" t="s">
        <v>74</v>
      </c>
      <c r="F57" s="17">
        <f>G57+H57</f>
        <v>10842</v>
      </c>
      <c r="G57" s="16">
        <f>1070.3-182</f>
        <v>888.3</v>
      </c>
      <c r="H57" s="16">
        <v>9953.7000000000007</v>
      </c>
      <c r="I57" s="76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</row>
    <row r="58" spans="1:252" s="6" customFormat="1" ht="30.75" customHeight="1" x14ac:dyDescent="0.25">
      <c r="A58" s="86"/>
      <c r="B58" s="18" t="s">
        <v>9</v>
      </c>
      <c r="C58" s="38"/>
      <c r="D58" s="38"/>
      <c r="E58" s="72" t="s">
        <v>10</v>
      </c>
      <c r="F58" s="14">
        <f t="shared" si="1"/>
        <v>287159.59999999998</v>
      </c>
      <c r="G58" s="14">
        <f>SUM(G59:G67)</f>
        <v>29366</v>
      </c>
      <c r="H58" s="14">
        <f>SUM(H59:H67)</f>
        <v>257793.6</v>
      </c>
      <c r="I58" s="39"/>
      <c r="J58" s="40"/>
      <c r="K58" s="40"/>
    </row>
    <row r="59" spans="1:252" ht="47.25" customHeight="1" x14ac:dyDescent="0.25">
      <c r="A59" s="86"/>
      <c r="B59" s="76" t="s">
        <v>9</v>
      </c>
      <c r="C59" s="79" t="s">
        <v>105</v>
      </c>
      <c r="D59" s="76" t="s">
        <v>12</v>
      </c>
      <c r="E59" s="41" t="s">
        <v>33</v>
      </c>
      <c r="F59" s="16">
        <f t="shared" si="1"/>
        <v>75865.899999999994</v>
      </c>
      <c r="G59" s="16"/>
      <c r="H59" s="17">
        <v>75865.899999999994</v>
      </c>
      <c r="I59" s="42"/>
      <c r="J59" s="43"/>
      <c r="K59" s="43"/>
    </row>
    <row r="60" spans="1:252" ht="44.25" customHeight="1" x14ac:dyDescent="0.25">
      <c r="A60" s="86"/>
      <c r="B60" s="95" t="s">
        <v>9</v>
      </c>
      <c r="C60" s="79" t="s">
        <v>104</v>
      </c>
      <c r="D60" s="95" t="s">
        <v>12</v>
      </c>
      <c r="E60" s="96" t="s">
        <v>153</v>
      </c>
      <c r="F60" s="16">
        <f t="shared" ref="F60:F61" si="8">G60+H60</f>
        <v>20550.099999999999</v>
      </c>
      <c r="G60" s="16"/>
      <c r="H60" s="17">
        <v>20550.099999999999</v>
      </c>
      <c r="I60" s="42"/>
      <c r="J60" s="43"/>
      <c r="K60" s="43"/>
    </row>
    <row r="61" spans="1:252" ht="42.75" customHeight="1" x14ac:dyDescent="0.25">
      <c r="A61" s="86"/>
      <c r="B61" s="95"/>
      <c r="C61" s="79" t="s">
        <v>106</v>
      </c>
      <c r="D61" s="95"/>
      <c r="E61" s="96"/>
      <c r="F61" s="16">
        <f t="shared" si="8"/>
        <v>1546.8</v>
      </c>
      <c r="G61" s="16">
        <v>1546.8</v>
      </c>
      <c r="H61" s="17"/>
      <c r="I61" s="42"/>
      <c r="J61" s="43"/>
      <c r="K61" s="43"/>
    </row>
    <row r="62" spans="1:252" ht="37.5" customHeight="1" x14ac:dyDescent="0.25">
      <c r="A62" s="86"/>
      <c r="B62" s="95" t="s">
        <v>9</v>
      </c>
      <c r="C62" s="79" t="s">
        <v>97</v>
      </c>
      <c r="D62" s="95" t="s">
        <v>12</v>
      </c>
      <c r="E62" s="96" t="s">
        <v>154</v>
      </c>
      <c r="F62" s="16">
        <f>G62+H62</f>
        <v>3577.5</v>
      </c>
      <c r="G62" s="16">
        <f>9018.9-856.4-4585</f>
        <v>3577.5</v>
      </c>
      <c r="H62" s="17"/>
      <c r="I62" s="42"/>
      <c r="J62" s="43"/>
      <c r="K62" s="43"/>
    </row>
    <row r="63" spans="1:252" ht="35.25" customHeight="1" x14ac:dyDescent="0.25">
      <c r="A63" s="86"/>
      <c r="B63" s="95"/>
      <c r="C63" s="79" t="s">
        <v>104</v>
      </c>
      <c r="D63" s="95"/>
      <c r="E63" s="96"/>
      <c r="F63" s="16">
        <f>G63+H63</f>
        <v>161377.60000000001</v>
      </c>
      <c r="G63" s="44"/>
      <c r="H63" s="17">
        <f>150000+11377.6</f>
        <v>161377.60000000001</v>
      </c>
      <c r="I63" s="42"/>
      <c r="J63" s="43"/>
      <c r="K63" s="43"/>
    </row>
    <row r="64" spans="1:252" ht="34.5" customHeight="1" x14ac:dyDescent="0.25">
      <c r="A64" s="86"/>
      <c r="B64" s="95"/>
      <c r="C64" s="79" t="s">
        <v>106</v>
      </c>
      <c r="D64" s="95"/>
      <c r="E64" s="96"/>
      <c r="F64" s="16">
        <f>G64+H64</f>
        <v>12146.7</v>
      </c>
      <c r="G64" s="16">
        <f>25509.2-5200-9018.9+856.4</f>
        <v>12146.7</v>
      </c>
      <c r="H64" s="17"/>
      <c r="I64" s="42"/>
      <c r="J64" s="43"/>
      <c r="K64" s="43"/>
    </row>
    <row r="65" spans="1:11" ht="63" customHeight="1" x14ac:dyDescent="0.25">
      <c r="A65" s="86"/>
      <c r="B65" s="27" t="s">
        <v>9</v>
      </c>
      <c r="C65" s="79" t="s">
        <v>97</v>
      </c>
      <c r="D65" s="27" t="s">
        <v>12</v>
      </c>
      <c r="E65" s="45" t="s">
        <v>160</v>
      </c>
      <c r="F65" s="16">
        <f>G65+H65</f>
        <v>277</v>
      </c>
      <c r="G65" s="16">
        <v>277</v>
      </c>
      <c r="H65" s="82"/>
      <c r="I65" s="92"/>
      <c r="J65" s="43"/>
      <c r="K65" s="43"/>
    </row>
    <row r="66" spans="1:11" ht="48" customHeight="1" x14ac:dyDescent="0.25">
      <c r="A66" s="86"/>
      <c r="B66" s="27" t="s">
        <v>9</v>
      </c>
      <c r="C66" s="79" t="s">
        <v>97</v>
      </c>
      <c r="D66" s="27" t="s">
        <v>12</v>
      </c>
      <c r="E66" s="45" t="s">
        <v>162</v>
      </c>
      <c r="F66" s="16">
        <f>G66+H66</f>
        <v>1200</v>
      </c>
      <c r="G66" s="16">
        <v>1200</v>
      </c>
      <c r="H66" s="82"/>
      <c r="I66" s="92"/>
      <c r="J66" s="43"/>
      <c r="K66" s="43"/>
    </row>
    <row r="67" spans="1:11" ht="50.25" customHeight="1" x14ac:dyDescent="0.25">
      <c r="A67" s="86"/>
      <c r="B67" s="76" t="s">
        <v>9</v>
      </c>
      <c r="C67" s="79" t="s">
        <v>97</v>
      </c>
      <c r="D67" s="76" t="s">
        <v>12</v>
      </c>
      <c r="E67" s="45" t="s">
        <v>144</v>
      </c>
      <c r="F67" s="16">
        <f t="shared" si="1"/>
        <v>10618</v>
      </c>
      <c r="G67" s="16">
        <f>15000+300-10000+1800+350+3168</f>
        <v>10618</v>
      </c>
      <c r="H67" s="17"/>
      <c r="I67" s="42"/>
      <c r="J67" s="43"/>
      <c r="K67" s="43"/>
    </row>
    <row r="68" spans="1:11" ht="29.25" customHeight="1" x14ac:dyDescent="0.25">
      <c r="A68" s="87"/>
      <c r="B68" s="21" t="s">
        <v>13</v>
      </c>
      <c r="C68" s="76"/>
      <c r="D68" s="76"/>
      <c r="E68" s="75" t="s">
        <v>14</v>
      </c>
      <c r="F68" s="11">
        <f t="shared" ref="F68:F73" si="9">G68+H68+I68</f>
        <v>82312.599999999991</v>
      </c>
      <c r="G68" s="11">
        <f>G73+G71+G69</f>
        <v>29777.899999999998</v>
      </c>
      <c r="H68" s="11">
        <f t="shared" ref="H68:I68" si="10">H73+H71+H69</f>
        <v>46593.7</v>
      </c>
      <c r="I68" s="11">
        <f t="shared" si="10"/>
        <v>5941</v>
      </c>
      <c r="J68" s="43"/>
      <c r="K68" s="43"/>
    </row>
    <row r="69" spans="1:11" ht="29.25" customHeight="1" x14ac:dyDescent="0.25">
      <c r="A69" s="87"/>
      <c r="B69" s="18" t="s">
        <v>27</v>
      </c>
      <c r="C69" s="18"/>
      <c r="D69" s="18"/>
      <c r="E69" s="19" t="s">
        <v>28</v>
      </c>
      <c r="F69" s="11">
        <f t="shared" si="9"/>
        <v>2628.2</v>
      </c>
      <c r="G69" s="11">
        <f>G70</f>
        <v>2628.2</v>
      </c>
      <c r="H69" s="11"/>
      <c r="I69" s="11"/>
      <c r="J69" s="43"/>
      <c r="K69" s="43"/>
    </row>
    <row r="70" spans="1:11" ht="36" customHeight="1" x14ac:dyDescent="0.25">
      <c r="A70" s="87"/>
      <c r="B70" s="76" t="s">
        <v>27</v>
      </c>
      <c r="C70" s="27" t="s">
        <v>158</v>
      </c>
      <c r="D70" s="27" t="s">
        <v>12</v>
      </c>
      <c r="E70" s="81" t="s">
        <v>159</v>
      </c>
      <c r="F70" s="16">
        <f t="shared" si="9"/>
        <v>2628.2</v>
      </c>
      <c r="G70" s="16">
        <f>2146.2+482</f>
        <v>2628.2</v>
      </c>
      <c r="H70" s="16"/>
      <c r="I70" s="16"/>
      <c r="J70" s="43"/>
      <c r="K70" s="43"/>
    </row>
    <row r="71" spans="1:11" ht="29.25" customHeight="1" x14ac:dyDescent="0.25">
      <c r="A71" s="87"/>
      <c r="B71" s="21" t="s">
        <v>55</v>
      </c>
      <c r="C71" s="74"/>
      <c r="D71" s="74"/>
      <c r="E71" s="75" t="s">
        <v>56</v>
      </c>
      <c r="F71" s="11">
        <f t="shared" si="9"/>
        <v>270</v>
      </c>
      <c r="G71" s="11">
        <f>G72</f>
        <v>270</v>
      </c>
      <c r="H71" s="11"/>
      <c r="I71" s="11"/>
      <c r="J71" s="43"/>
      <c r="K71" s="43"/>
    </row>
    <row r="72" spans="1:11" ht="29.25" customHeight="1" x14ac:dyDescent="0.25">
      <c r="A72" s="87"/>
      <c r="B72" s="79" t="s">
        <v>55</v>
      </c>
      <c r="C72" s="79" t="s">
        <v>140</v>
      </c>
      <c r="D72" s="79" t="s">
        <v>12</v>
      </c>
      <c r="E72" s="80" t="s">
        <v>88</v>
      </c>
      <c r="F72" s="16">
        <f t="shared" si="9"/>
        <v>270</v>
      </c>
      <c r="G72" s="16">
        <f>120+150</f>
        <v>270</v>
      </c>
      <c r="H72" s="16"/>
      <c r="I72" s="16"/>
      <c r="J72" s="43"/>
      <c r="K72" s="43"/>
    </row>
    <row r="73" spans="1:11" ht="31.5" customHeight="1" x14ac:dyDescent="0.25">
      <c r="A73" s="87"/>
      <c r="B73" s="21" t="s">
        <v>15</v>
      </c>
      <c r="C73" s="21"/>
      <c r="D73" s="21"/>
      <c r="E73" s="75" t="s">
        <v>16</v>
      </c>
      <c r="F73" s="11">
        <f t="shared" si="9"/>
        <v>79414.399999999994</v>
      </c>
      <c r="G73" s="11">
        <f>SUM(G74:G81)</f>
        <v>26879.699999999997</v>
      </c>
      <c r="H73" s="11">
        <f>SUM(H74:H81)</f>
        <v>46593.7</v>
      </c>
      <c r="I73" s="11">
        <f>SUM(I74:I81)</f>
        <v>5941</v>
      </c>
      <c r="J73" s="43"/>
      <c r="K73" s="43"/>
    </row>
    <row r="74" spans="1:11" ht="38.25" customHeight="1" x14ac:dyDescent="0.25">
      <c r="A74" s="87"/>
      <c r="B74" s="105" t="s">
        <v>15</v>
      </c>
      <c r="C74" s="93" t="s">
        <v>107</v>
      </c>
      <c r="D74" s="105" t="s">
        <v>12</v>
      </c>
      <c r="E74" s="107" t="s">
        <v>32</v>
      </c>
      <c r="F74" s="16">
        <f>G74+H74</f>
        <v>12.9</v>
      </c>
      <c r="G74" s="16">
        <v>12.9</v>
      </c>
      <c r="H74" s="16"/>
      <c r="I74" s="16"/>
      <c r="J74" s="43"/>
      <c r="K74" s="43"/>
    </row>
    <row r="75" spans="1:11" ht="38.25" customHeight="1" x14ac:dyDescent="0.25">
      <c r="A75" s="87"/>
      <c r="B75" s="106"/>
      <c r="C75" s="79" t="s">
        <v>127</v>
      </c>
      <c r="D75" s="106"/>
      <c r="E75" s="108"/>
      <c r="F75" s="16">
        <f t="shared" si="1"/>
        <v>47314</v>
      </c>
      <c r="G75" s="46">
        <f>15600-8179.7</f>
        <v>7420.3</v>
      </c>
      <c r="H75" s="46">
        <f>37500+2393.7</f>
        <v>39893.699999999997</v>
      </c>
      <c r="I75" s="42"/>
      <c r="J75" s="43"/>
      <c r="K75" s="43"/>
    </row>
    <row r="76" spans="1:11" ht="48.75" customHeight="1" x14ac:dyDescent="0.25">
      <c r="A76" s="87"/>
      <c r="B76" s="27" t="s">
        <v>15</v>
      </c>
      <c r="C76" s="79" t="s">
        <v>119</v>
      </c>
      <c r="D76" s="76" t="s">
        <v>12</v>
      </c>
      <c r="E76" s="80" t="s">
        <v>133</v>
      </c>
      <c r="F76" s="16">
        <f>G76+H76+I76</f>
        <v>6669.7</v>
      </c>
      <c r="G76" s="46">
        <f>3743.7-24-390.4-33.6</f>
        <v>3295.7</v>
      </c>
      <c r="H76" s="46">
        <v>3350</v>
      </c>
      <c r="I76" s="46">
        <f>20+4</f>
        <v>24</v>
      </c>
      <c r="J76" s="43"/>
      <c r="K76" s="43"/>
    </row>
    <row r="77" spans="1:11" ht="54" customHeight="1" x14ac:dyDescent="0.25">
      <c r="A77" s="87"/>
      <c r="B77" s="27" t="s">
        <v>15</v>
      </c>
      <c r="C77" s="79" t="s">
        <v>120</v>
      </c>
      <c r="D77" s="76" t="s">
        <v>12</v>
      </c>
      <c r="E77" s="80" t="s">
        <v>134</v>
      </c>
      <c r="F77" s="16">
        <f>G77+H77+I77</f>
        <v>8010.7</v>
      </c>
      <c r="G77" s="46">
        <f>6215.9+2-15-2-1330-178.3-48.9</f>
        <v>4643.7</v>
      </c>
      <c r="H77" s="46">
        <v>3350</v>
      </c>
      <c r="I77" s="46">
        <f>15+2</f>
        <v>17</v>
      </c>
      <c r="J77" s="43"/>
      <c r="K77" s="43"/>
    </row>
    <row r="78" spans="1:11" ht="48" customHeight="1" x14ac:dyDescent="0.25">
      <c r="A78" s="87"/>
      <c r="B78" s="76" t="s">
        <v>15</v>
      </c>
      <c r="C78" s="79" t="s">
        <v>107</v>
      </c>
      <c r="D78" s="76" t="s">
        <v>12</v>
      </c>
      <c r="E78" s="80" t="s">
        <v>145</v>
      </c>
      <c r="F78" s="16">
        <f t="shared" ref="F78:F79" si="11">G78+H78</f>
        <v>7730</v>
      </c>
      <c r="G78" s="46">
        <f>2000+5730</f>
        <v>7730</v>
      </c>
      <c r="H78" s="46"/>
      <c r="I78" s="42"/>
      <c r="J78" s="43"/>
      <c r="K78" s="43"/>
    </row>
    <row r="79" spans="1:11" ht="48" customHeight="1" x14ac:dyDescent="0.25">
      <c r="A79" s="87"/>
      <c r="B79" s="76" t="s">
        <v>15</v>
      </c>
      <c r="C79" s="79" t="s">
        <v>107</v>
      </c>
      <c r="D79" s="76" t="s">
        <v>12</v>
      </c>
      <c r="E79" s="80" t="s">
        <v>161</v>
      </c>
      <c r="F79" s="16">
        <f t="shared" si="11"/>
        <v>410</v>
      </c>
      <c r="G79" s="46">
        <v>410</v>
      </c>
      <c r="H79" s="46"/>
      <c r="I79" s="42"/>
      <c r="J79" s="43"/>
      <c r="K79" s="43"/>
    </row>
    <row r="80" spans="1:11" ht="92.25" customHeight="1" x14ac:dyDescent="0.25">
      <c r="A80" s="87"/>
      <c r="B80" s="76" t="s">
        <v>15</v>
      </c>
      <c r="C80" s="79" t="s">
        <v>107</v>
      </c>
      <c r="D80" s="76" t="s">
        <v>12</v>
      </c>
      <c r="E80" s="80" t="s">
        <v>147</v>
      </c>
      <c r="F80" s="16">
        <f>G80+H80+I80</f>
        <v>5900</v>
      </c>
      <c r="G80" s="46"/>
      <c r="H80" s="46"/>
      <c r="I80" s="16">
        <v>5900</v>
      </c>
      <c r="J80" s="43"/>
      <c r="K80" s="43"/>
    </row>
    <row r="81" spans="1:13" ht="47.25" customHeight="1" x14ac:dyDescent="0.25">
      <c r="A81" s="87"/>
      <c r="B81" s="76" t="s">
        <v>15</v>
      </c>
      <c r="C81" s="79" t="s">
        <v>107</v>
      </c>
      <c r="D81" s="76" t="s">
        <v>12</v>
      </c>
      <c r="E81" s="80" t="s">
        <v>62</v>
      </c>
      <c r="F81" s="16">
        <f>G81+H81</f>
        <v>3367.1</v>
      </c>
      <c r="G81" s="46">
        <f>300+600-20+2500-12.9</f>
        <v>3367.1</v>
      </c>
      <c r="H81" s="46"/>
      <c r="I81" s="42"/>
      <c r="J81" s="43"/>
      <c r="K81" s="43"/>
    </row>
    <row r="82" spans="1:13" s="49" customFormat="1" ht="30" customHeight="1" x14ac:dyDescent="0.25">
      <c r="A82" s="88"/>
      <c r="B82" s="18" t="s">
        <v>17</v>
      </c>
      <c r="C82" s="21"/>
      <c r="D82" s="18"/>
      <c r="E82" s="75" t="s">
        <v>18</v>
      </c>
      <c r="F82" s="11">
        <f>G82+H82+I82</f>
        <v>370243.8</v>
      </c>
      <c r="G82" s="47">
        <f>G83+G90+G97</f>
        <v>19623.400000000001</v>
      </c>
      <c r="H82" s="47">
        <f>H83+H90</f>
        <v>236381.4</v>
      </c>
      <c r="I82" s="47">
        <f>I83+I90</f>
        <v>114239</v>
      </c>
      <c r="J82" s="48"/>
      <c r="K82" s="48"/>
      <c r="M82" s="50"/>
    </row>
    <row r="83" spans="1:13" ht="30" customHeight="1" x14ac:dyDescent="0.25">
      <c r="A83" s="87"/>
      <c r="B83" s="21" t="s">
        <v>19</v>
      </c>
      <c r="C83" s="21"/>
      <c r="D83" s="21"/>
      <c r="E83" s="71" t="s">
        <v>20</v>
      </c>
      <c r="F83" s="11">
        <f>G83+H83+I83</f>
        <v>21856.300000000003</v>
      </c>
      <c r="G83" s="11">
        <f>SUM(G84:G89)</f>
        <v>755.2</v>
      </c>
      <c r="H83" s="11">
        <f>H88+H89+H86+H84</f>
        <v>7466.4</v>
      </c>
      <c r="I83" s="11">
        <f>I88+I89+I86+I84</f>
        <v>13634.7</v>
      </c>
      <c r="J83" s="43"/>
      <c r="K83" s="43"/>
    </row>
    <row r="84" spans="1:13" ht="46.5" customHeight="1" x14ac:dyDescent="0.25">
      <c r="A84" s="87"/>
      <c r="B84" s="94" t="s">
        <v>19</v>
      </c>
      <c r="C84" s="79" t="s">
        <v>128</v>
      </c>
      <c r="D84" s="94" t="s">
        <v>12</v>
      </c>
      <c r="E84" s="98" t="s">
        <v>124</v>
      </c>
      <c r="F84" s="16">
        <f>G84+H84</f>
        <v>3733.2</v>
      </c>
      <c r="G84" s="16"/>
      <c r="H84" s="16">
        <v>3733.2</v>
      </c>
      <c r="I84" s="42"/>
      <c r="J84" s="43"/>
      <c r="K84" s="43"/>
    </row>
    <row r="85" spans="1:13" ht="45.75" customHeight="1" x14ac:dyDescent="0.25">
      <c r="A85" s="87"/>
      <c r="B85" s="94"/>
      <c r="C85" s="79" t="s">
        <v>129</v>
      </c>
      <c r="D85" s="94"/>
      <c r="E85" s="98"/>
      <c r="F85" s="16">
        <f>G85+H85</f>
        <v>281.10000000000002</v>
      </c>
      <c r="G85" s="16">
        <v>281.10000000000002</v>
      </c>
      <c r="H85" s="16"/>
      <c r="I85" s="42"/>
      <c r="J85" s="43"/>
      <c r="K85" s="43"/>
    </row>
    <row r="86" spans="1:13" ht="43.5" customHeight="1" x14ac:dyDescent="0.25">
      <c r="A86" s="87"/>
      <c r="B86" s="94" t="s">
        <v>19</v>
      </c>
      <c r="C86" s="79" t="s">
        <v>128</v>
      </c>
      <c r="D86" s="94" t="s">
        <v>12</v>
      </c>
      <c r="E86" s="98" t="s">
        <v>155</v>
      </c>
      <c r="F86" s="16">
        <f>G86+H86</f>
        <v>3733.2</v>
      </c>
      <c r="G86" s="16"/>
      <c r="H86" s="16">
        <v>3733.2</v>
      </c>
      <c r="I86" s="42"/>
      <c r="J86" s="43"/>
      <c r="K86" s="43"/>
    </row>
    <row r="87" spans="1:13" ht="46.5" customHeight="1" x14ac:dyDescent="0.25">
      <c r="A87" s="87"/>
      <c r="B87" s="94"/>
      <c r="C87" s="79" t="s">
        <v>129</v>
      </c>
      <c r="D87" s="94"/>
      <c r="E87" s="98"/>
      <c r="F87" s="16">
        <f>G87+H87</f>
        <v>281.10000000000002</v>
      </c>
      <c r="G87" s="16">
        <v>281.10000000000002</v>
      </c>
      <c r="H87" s="16"/>
      <c r="I87" s="42"/>
      <c r="J87" s="43"/>
      <c r="K87" s="43"/>
    </row>
    <row r="88" spans="1:13" ht="54.75" customHeight="1" x14ac:dyDescent="0.25">
      <c r="A88" s="87"/>
      <c r="B88" s="79" t="s">
        <v>19</v>
      </c>
      <c r="C88" s="79" t="s">
        <v>98</v>
      </c>
      <c r="D88" s="79" t="s">
        <v>12</v>
      </c>
      <c r="E88" s="35" t="s">
        <v>93</v>
      </c>
      <c r="F88" s="16">
        <f>I88+H88+G88</f>
        <v>13634.7</v>
      </c>
      <c r="G88" s="44"/>
      <c r="H88" s="11"/>
      <c r="I88" s="16">
        <f>18389-2404.3-2350</f>
        <v>13634.7</v>
      </c>
      <c r="J88" s="51"/>
      <c r="K88" s="43"/>
    </row>
    <row r="89" spans="1:13" ht="48" customHeight="1" x14ac:dyDescent="0.25">
      <c r="A89" s="87"/>
      <c r="B89" s="79" t="s">
        <v>19</v>
      </c>
      <c r="C89" s="79" t="s">
        <v>98</v>
      </c>
      <c r="D89" s="79" t="s">
        <v>12</v>
      </c>
      <c r="E89" s="35" t="s">
        <v>62</v>
      </c>
      <c r="F89" s="16">
        <f t="shared" si="1"/>
        <v>193</v>
      </c>
      <c r="G89" s="16">
        <f>700+200-191-516</f>
        <v>193</v>
      </c>
      <c r="H89" s="11"/>
      <c r="I89" s="42"/>
      <c r="J89" s="51"/>
      <c r="K89" s="43"/>
    </row>
    <row r="90" spans="1:13" ht="37.5" customHeight="1" x14ac:dyDescent="0.25">
      <c r="A90" s="87"/>
      <c r="B90" s="18" t="s">
        <v>51</v>
      </c>
      <c r="C90" s="18"/>
      <c r="D90" s="18"/>
      <c r="E90" s="52" t="s">
        <v>52</v>
      </c>
      <c r="F90" s="11">
        <f>G90+H90+I90</f>
        <v>348337.5</v>
      </c>
      <c r="G90" s="11">
        <f>G92+G94+G96+G93+G91+G95</f>
        <v>18818.2</v>
      </c>
      <c r="H90" s="11">
        <f>H92+H94+H96+H93+H91+H95</f>
        <v>228915</v>
      </c>
      <c r="I90" s="11">
        <f>I92+I94+I96+I93+I91+I95</f>
        <v>100604.3</v>
      </c>
      <c r="J90" s="51"/>
      <c r="K90" s="43"/>
    </row>
    <row r="91" spans="1:13" ht="41.25" customHeight="1" x14ac:dyDescent="0.25">
      <c r="A91" s="87"/>
      <c r="B91" s="94" t="s">
        <v>51</v>
      </c>
      <c r="C91" s="76" t="s">
        <v>98</v>
      </c>
      <c r="D91" s="94" t="s">
        <v>12</v>
      </c>
      <c r="E91" s="98" t="s">
        <v>83</v>
      </c>
      <c r="F91" s="16">
        <f>G91+H91+I91</f>
        <v>80800</v>
      </c>
      <c r="G91" s="16">
        <f>2800-2000</f>
        <v>800</v>
      </c>
      <c r="H91" s="16"/>
      <c r="I91" s="16">
        <v>80000</v>
      </c>
      <c r="J91" s="51"/>
      <c r="K91" s="43"/>
    </row>
    <row r="92" spans="1:13" ht="33" customHeight="1" x14ac:dyDescent="0.25">
      <c r="A92" s="87"/>
      <c r="B92" s="94"/>
      <c r="C92" s="79" t="s">
        <v>130</v>
      </c>
      <c r="D92" s="94"/>
      <c r="E92" s="98"/>
      <c r="F92" s="16">
        <f t="shared" ref="F92:F96" si="12">G92+H92+I92</f>
        <v>134402.6</v>
      </c>
      <c r="G92" s="16">
        <v>9408.2000000000007</v>
      </c>
      <c r="H92" s="16">
        <f>92495.8+32498.6</f>
        <v>124994.4</v>
      </c>
      <c r="I92" s="42"/>
      <c r="J92" s="51"/>
      <c r="K92" s="43"/>
    </row>
    <row r="93" spans="1:13" ht="33" customHeight="1" x14ac:dyDescent="0.25">
      <c r="A93" s="87"/>
      <c r="B93" s="94"/>
      <c r="C93" s="79" t="s">
        <v>131</v>
      </c>
      <c r="D93" s="94"/>
      <c r="E93" s="98"/>
      <c r="F93" s="16">
        <f t="shared" si="12"/>
        <v>111742.6</v>
      </c>
      <c r="G93" s="16">
        <v>7822</v>
      </c>
      <c r="H93" s="16">
        <v>103920.6</v>
      </c>
      <c r="I93" s="42"/>
      <c r="J93" s="51"/>
      <c r="K93" s="43"/>
    </row>
    <row r="94" spans="1:13" ht="45" customHeight="1" x14ac:dyDescent="0.25">
      <c r="A94" s="87"/>
      <c r="B94" s="79" t="s">
        <v>51</v>
      </c>
      <c r="C94" s="79" t="s">
        <v>98</v>
      </c>
      <c r="D94" s="79" t="s">
        <v>12</v>
      </c>
      <c r="E94" s="80" t="s">
        <v>156</v>
      </c>
      <c r="F94" s="16">
        <f t="shared" si="12"/>
        <v>10604.3</v>
      </c>
      <c r="G94" s="16"/>
      <c r="H94" s="16"/>
      <c r="I94" s="16">
        <f>8200+2404.3</f>
        <v>10604.3</v>
      </c>
      <c r="J94" s="51"/>
      <c r="K94" s="43"/>
    </row>
    <row r="95" spans="1:13" ht="42.75" customHeight="1" x14ac:dyDescent="0.25">
      <c r="A95" s="87"/>
      <c r="B95" s="79" t="s">
        <v>51</v>
      </c>
      <c r="C95" s="79" t="s">
        <v>98</v>
      </c>
      <c r="D95" s="79" t="s">
        <v>12</v>
      </c>
      <c r="E95" s="80" t="s">
        <v>139</v>
      </c>
      <c r="F95" s="16">
        <f t="shared" si="12"/>
        <v>10000</v>
      </c>
      <c r="G95" s="16"/>
      <c r="H95" s="16"/>
      <c r="I95" s="16">
        <f>5000+5000</f>
        <v>10000</v>
      </c>
      <c r="J95" s="51"/>
      <c r="K95" s="43"/>
    </row>
    <row r="96" spans="1:13" ht="40.5" customHeight="1" x14ac:dyDescent="0.25">
      <c r="A96" s="87"/>
      <c r="B96" s="79" t="s">
        <v>51</v>
      </c>
      <c r="C96" s="79" t="s">
        <v>98</v>
      </c>
      <c r="D96" s="79" t="s">
        <v>12</v>
      </c>
      <c r="E96" s="80" t="s">
        <v>62</v>
      </c>
      <c r="F96" s="16">
        <f t="shared" si="12"/>
        <v>788</v>
      </c>
      <c r="G96" s="16">
        <f>2090+500-1500-302</f>
        <v>788</v>
      </c>
      <c r="H96" s="16"/>
      <c r="I96" s="42"/>
      <c r="J96" s="51"/>
      <c r="K96" s="43"/>
    </row>
    <row r="97" spans="1:11" ht="33.75" customHeight="1" x14ac:dyDescent="0.25">
      <c r="A97" s="87"/>
      <c r="B97" s="21" t="s">
        <v>89</v>
      </c>
      <c r="C97" s="53"/>
      <c r="D97" s="79"/>
      <c r="E97" s="54" t="s">
        <v>90</v>
      </c>
      <c r="F97" s="11">
        <f t="shared" ref="F97" si="13">G97+H97</f>
        <v>50</v>
      </c>
      <c r="G97" s="11">
        <f>G98</f>
        <v>50</v>
      </c>
      <c r="H97" s="11"/>
      <c r="I97" s="42"/>
      <c r="J97" s="51"/>
      <c r="K97" s="43"/>
    </row>
    <row r="98" spans="1:11" ht="40.5" customHeight="1" x14ac:dyDescent="0.25">
      <c r="A98" s="87"/>
      <c r="B98" s="79" t="s">
        <v>89</v>
      </c>
      <c r="C98" s="79" t="s">
        <v>98</v>
      </c>
      <c r="D98" s="79" t="s">
        <v>12</v>
      </c>
      <c r="E98" s="80" t="s">
        <v>86</v>
      </c>
      <c r="F98" s="16">
        <f>G98+H98</f>
        <v>50</v>
      </c>
      <c r="G98" s="16">
        <f>500-450</f>
        <v>50</v>
      </c>
      <c r="H98" s="16"/>
      <c r="I98" s="42"/>
      <c r="J98" s="51"/>
      <c r="K98" s="43"/>
    </row>
    <row r="99" spans="1:11" ht="30" customHeight="1" x14ac:dyDescent="0.25">
      <c r="A99" s="87"/>
      <c r="B99" s="21" t="s">
        <v>34</v>
      </c>
      <c r="C99" s="79"/>
      <c r="D99" s="79"/>
      <c r="E99" s="75" t="s">
        <v>35</v>
      </c>
      <c r="F99" s="11">
        <f t="shared" si="1"/>
        <v>274118.40000000002</v>
      </c>
      <c r="G99" s="11">
        <f>G100+G104</f>
        <v>20118.400000000001</v>
      </c>
      <c r="H99" s="11">
        <f>H100</f>
        <v>254000</v>
      </c>
      <c r="I99" s="42"/>
      <c r="J99" s="43"/>
      <c r="K99" s="43"/>
    </row>
    <row r="100" spans="1:11" ht="31.5" customHeight="1" x14ac:dyDescent="0.25">
      <c r="A100" s="87"/>
      <c r="B100" s="21" t="s">
        <v>77</v>
      </c>
      <c r="C100" s="21"/>
      <c r="D100" s="21"/>
      <c r="E100" s="75" t="s">
        <v>76</v>
      </c>
      <c r="F100" s="11">
        <f t="shared" si="1"/>
        <v>273718.40000000002</v>
      </c>
      <c r="G100" s="11">
        <f>SUM(G101:G103)</f>
        <v>19718.400000000001</v>
      </c>
      <c r="H100" s="11">
        <f>SUM(H101:H103)</f>
        <v>254000</v>
      </c>
      <c r="I100" s="42"/>
      <c r="J100" s="43"/>
      <c r="K100" s="43"/>
    </row>
    <row r="101" spans="1:11" ht="33.75" customHeight="1" x14ac:dyDescent="0.25">
      <c r="A101" s="87"/>
      <c r="B101" s="94" t="s">
        <v>77</v>
      </c>
      <c r="C101" s="76" t="s">
        <v>125</v>
      </c>
      <c r="D101" s="94" t="s">
        <v>12</v>
      </c>
      <c r="E101" s="98" t="s">
        <v>85</v>
      </c>
      <c r="F101" s="16">
        <f>G101+H101</f>
        <v>254000</v>
      </c>
      <c r="G101" s="42"/>
      <c r="H101" s="16">
        <v>254000</v>
      </c>
      <c r="I101" s="42"/>
      <c r="J101" s="55"/>
      <c r="K101" s="43"/>
    </row>
    <row r="102" spans="1:11" ht="31.5" customHeight="1" x14ac:dyDescent="0.25">
      <c r="A102" s="87"/>
      <c r="B102" s="94"/>
      <c r="C102" s="76" t="s">
        <v>126</v>
      </c>
      <c r="D102" s="94"/>
      <c r="E102" s="98"/>
      <c r="F102" s="16">
        <f>G102+H102</f>
        <v>19118.400000000001</v>
      </c>
      <c r="G102" s="16">
        <f>25834-6715.6</f>
        <v>19118.400000000001</v>
      </c>
      <c r="H102" s="16"/>
      <c r="I102" s="42"/>
      <c r="J102" s="55"/>
      <c r="K102" s="43"/>
    </row>
    <row r="103" spans="1:11" ht="50.25" customHeight="1" x14ac:dyDescent="0.25">
      <c r="A103" s="87"/>
      <c r="B103" s="79" t="s">
        <v>77</v>
      </c>
      <c r="C103" s="76" t="s">
        <v>99</v>
      </c>
      <c r="D103" s="79" t="s">
        <v>12</v>
      </c>
      <c r="E103" s="35" t="s">
        <v>62</v>
      </c>
      <c r="F103" s="16">
        <f t="shared" si="1"/>
        <v>600</v>
      </c>
      <c r="G103" s="16">
        <f>3560-190-2770</f>
        <v>600</v>
      </c>
      <c r="H103" s="16"/>
      <c r="I103" s="42"/>
      <c r="J103" s="55"/>
      <c r="K103" s="43"/>
    </row>
    <row r="104" spans="1:11" ht="36" customHeight="1" x14ac:dyDescent="0.25">
      <c r="A104" s="87"/>
      <c r="B104" s="21" t="s">
        <v>91</v>
      </c>
      <c r="C104" s="21"/>
      <c r="D104" s="21"/>
      <c r="E104" s="75" t="s">
        <v>92</v>
      </c>
      <c r="F104" s="11">
        <f t="shared" si="1"/>
        <v>400</v>
      </c>
      <c r="G104" s="11">
        <f>SUM(G105:G105)</f>
        <v>400</v>
      </c>
      <c r="H104" s="16"/>
      <c r="I104" s="42"/>
      <c r="J104" s="55"/>
      <c r="K104" s="43"/>
    </row>
    <row r="105" spans="1:11" ht="47.25" customHeight="1" x14ac:dyDescent="0.25">
      <c r="A105" s="87"/>
      <c r="B105" s="79" t="s">
        <v>91</v>
      </c>
      <c r="C105" s="76" t="s">
        <v>78</v>
      </c>
      <c r="D105" s="79" t="s">
        <v>12</v>
      </c>
      <c r="E105" s="35" t="s">
        <v>62</v>
      </c>
      <c r="F105" s="16">
        <f t="shared" si="1"/>
        <v>400</v>
      </c>
      <c r="G105" s="16">
        <f>250+150</f>
        <v>400</v>
      </c>
      <c r="H105" s="16"/>
      <c r="I105" s="42"/>
      <c r="J105" s="55"/>
      <c r="K105" s="43"/>
    </row>
    <row r="106" spans="1:11" ht="31.5" customHeight="1" x14ac:dyDescent="0.25">
      <c r="A106" s="87"/>
      <c r="B106" s="18" t="s">
        <v>53</v>
      </c>
      <c r="C106" s="32"/>
      <c r="D106" s="33"/>
      <c r="E106" s="19" t="s">
        <v>54</v>
      </c>
      <c r="F106" s="11">
        <f t="shared" si="1"/>
        <v>24809</v>
      </c>
      <c r="G106" s="11">
        <f>G107</f>
        <v>4145.3</v>
      </c>
      <c r="H106" s="11">
        <f>H107</f>
        <v>20663.7</v>
      </c>
      <c r="I106" s="42"/>
      <c r="J106" s="55"/>
      <c r="K106" s="43"/>
    </row>
    <row r="107" spans="1:11" ht="31.5" customHeight="1" x14ac:dyDescent="0.25">
      <c r="A107" s="87"/>
      <c r="B107" s="18" t="s">
        <v>68</v>
      </c>
      <c r="C107" s="32"/>
      <c r="D107" s="33"/>
      <c r="E107" s="74" t="s">
        <v>69</v>
      </c>
      <c r="F107" s="11">
        <f t="shared" si="1"/>
        <v>24809</v>
      </c>
      <c r="G107" s="11">
        <f>G109+G111+G110+G108</f>
        <v>4145.3</v>
      </c>
      <c r="H107" s="11">
        <f>H109+H111+H110+H108</f>
        <v>20663.7</v>
      </c>
      <c r="I107" s="42"/>
      <c r="J107" s="55"/>
      <c r="K107" s="43"/>
    </row>
    <row r="108" spans="1:11" s="2" customFormat="1" ht="32.25" customHeight="1" x14ac:dyDescent="0.25">
      <c r="A108" s="89"/>
      <c r="B108" s="95" t="s">
        <v>68</v>
      </c>
      <c r="C108" s="76" t="s">
        <v>108</v>
      </c>
      <c r="D108" s="95" t="s">
        <v>12</v>
      </c>
      <c r="E108" s="101" t="s">
        <v>100</v>
      </c>
      <c r="F108" s="16">
        <f>H108+G108</f>
        <v>20663.7</v>
      </c>
      <c r="G108" s="56"/>
      <c r="H108" s="16">
        <v>20663.7</v>
      </c>
      <c r="I108" s="56"/>
      <c r="J108" s="57"/>
      <c r="K108" s="58"/>
    </row>
    <row r="109" spans="1:11" s="2" customFormat="1" ht="32.25" customHeight="1" x14ac:dyDescent="0.25">
      <c r="A109" s="89"/>
      <c r="B109" s="95"/>
      <c r="C109" s="76" t="s">
        <v>109</v>
      </c>
      <c r="D109" s="95"/>
      <c r="E109" s="101"/>
      <c r="F109" s="16">
        <f>G109+H109</f>
        <v>1555.3</v>
      </c>
      <c r="G109" s="16">
        <v>1555.3</v>
      </c>
      <c r="H109" s="16"/>
      <c r="I109" s="56"/>
      <c r="J109" s="57"/>
      <c r="K109" s="58"/>
    </row>
    <row r="110" spans="1:11" s="2" customFormat="1" ht="64.5" customHeight="1" x14ac:dyDescent="0.25">
      <c r="A110" s="89"/>
      <c r="B110" s="76" t="s">
        <v>68</v>
      </c>
      <c r="C110" s="76" t="s">
        <v>141</v>
      </c>
      <c r="D110" s="76" t="s">
        <v>12</v>
      </c>
      <c r="E110" s="78" t="s">
        <v>150</v>
      </c>
      <c r="F110" s="16">
        <f>G110+H110</f>
        <v>2400</v>
      </c>
      <c r="G110" s="16">
        <v>2400</v>
      </c>
      <c r="H110" s="16"/>
      <c r="I110" s="56"/>
      <c r="J110" s="57"/>
      <c r="K110" s="58"/>
    </row>
    <row r="111" spans="1:11" s="2" customFormat="1" ht="45" customHeight="1" x14ac:dyDescent="0.25">
      <c r="A111" s="89"/>
      <c r="B111" s="76" t="s">
        <v>68</v>
      </c>
      <c r="C111" s="76" t="s">
        <v>141</v>
      </c>
      <c r="D111" s="76" t="s">
        <v>12</v>
      </c>
      <c r="E111" s="78" t="s">
        <v>62</v>
      </c>
      <c r="F111" s="16">
        <f>G111+H111</f>
        <v>190</v>
      </c>
      <c r="G111" s="16">
        <v>190</v>
      </c>
      <c r="H111" s="16"/>
      <c r="I111" s="56"/>
      <c r="J111" s="57"/>
      <c r="K111" s="58"/>
    </row>
    <row r="112" spans="1:11" ht="41.25" customHeight="1" x14ac:dyDescent="0.25">
      <c r="A112" s="87"/>
      <c r="B112" s="97" t="s">
        <v>26</v>
      </c>
      <c r="C112" s="97"/>
      <c r="D112" s="97"/>
      <c r="E112" s="97"/>
      <c r="F112" s="11">
        <f t="shared" si="1"/>
        <v>6683.5</v>
      </c>
      <c r="G112" s="11">
        <f>G113+G117</f>
        <v>1372.5</v>
      </c>
      <c r="H112" s="11">
        <f>H113+H117</f>
        <v>5311</v>
      </c>
      <c r="I112" s="42"/>
      <c r="J112" s="59"/>
      <c r="K112" s="59"/>
    </row>
    <row r="113" spans="1:11" ht="27.75" customHeight="1" x14ac:dyDescent="0.25">
      <c r="A113" s="87"/>
      <c r="B113" s="21" t="s">
        <v>13</v>
      </c>
      <c r="C113" s="76"/>
      <c r="D113" s="76"/>
      <c r="E113" s="75" t="s">
        <v>14</v>
      </c>
      <c r="F113" s="11">
        <f t="shared" si="1"/>
        <v>1322.5</v>
      </c>
      <c r="G113" s="11">
        <f>G114</f>
        <v>1322.5</v>
      </c>
      <c r="H113" s="11"/>
      <c r="I113" s="42"/>
      <c r="J113" s="43"/>
      <c r="K113" s="43"/>
    </row>
    <row r="114" spans="1:11" ht="27.75" customHeight="1" x14ac:dyDescent="0.25">
      <c r="A114" s="87"/>
      <c r="B114" s="18" t="s">
        <v>27</v>
      </c>
      <c r="C114" s="73"/>
      <c r="D114" s="73"/>
      <c r="E114" s="19" t="s">
        <v>28</v>
      </c>
      <c r="F114" s="11">
        <f t="shared" si="1"/>
        <v>1322.5</v>
      </c>
      <c r="G114" s="11">
        <f>G115+G116</f>
        <v>1322.5</v>
      </c>
      <c r="H114" s="11"/>
      <c r="I114" s="42"/>
      <c r="J114" s="43"/>
      <c r="K114" s="43"/>
    </row>
    <row r="115" spans="1:11" ht="40.5" customHeight="1" x14ac:dyDescent="0.25">
      <c r="A115" s="87"/>
      <c r="B115" s="76" t="s">
        <v>27</v>
      </c>
      <c r="C115" s="79" t="s">
        <v>71</v>
      </c>
      <c r="D115" s="76">
        <v>200</v>
      </c>
      <c r="E115" s="80" t="s">
        <v>38</v>
      </c>
      <c r="F115" s="16">
        <f t="shared" si="1"/>
        <v>1287.5</v>
      </c>
      <c r="G115" s="46">
        <v>1287.5</v>
      </c>
      <c r="H115" s="11"/>
      <c r="I115" s="42"/>
      <c r="J115" s="55"/>
      <c r="K115" s="55"/>
    </row>
    <row r="116" spans="1:11" ht="55.5" customHeight="1" x14ac:dyDescent="0.25">
      <c r="A116" s="87"/>
      <c r="B116" s="76" t="s">
        <v>27</v>
      </c>
      <c r="C116" s="79" t="s">
        <v>71</v>
      </c>
      <c r="D116" s="76">
        <v>200</v>
      </c>
      <c r="E116" s="80" t="s">
        <v>29</v>
      </c>
      <c r="F116" s="16">
        <f t="shared" si="1"/>
        <v>35</v>
      </c>
      <c r="G116" s="46">
        <f>80-45</f>
        <v>35</v>
      </c>
      <c r="H116" s="16"/>
      <c r="I116" s="42"/>
      <c r="J116" s="43"/>
      <c r="K116" s="43"/>
    </row>
    <row r="117" spans="1:11" ht="28.5" customHeight="1" x14ac:dyDescent="0.25">
      <c r="A117" s="87"/>
      <c r="B117" s="18" t="s">
        <v>21</v>
      </c>
      <c r="C117" s="32"/>
      <c r="D117" s="33"/>
      <c r="E117" s="19" t="s">
        <v>22</v>
      </c>
      <c r="F117" s="11">
        <f t="shared" si="1"/>
        <v>5361</v>
      </c>
      <c r="G117" s="11">
        <f>G118</f>
        <v>50</v>
      </c>
      <c r="H117" s="11">
        <f>H118</f>
        <v>5311</v>
      </c>
      <c r="I117" s="42"/>
      <c r="J117" s="43"/>
      <c r="K117" s="43"/>
    </row>
    <row r="118" spans="1:11" ht="28.5" customHeight="1" x14ac:dyDescent="0.25">
      <c r="A118" s="87"/>
      <c r="B118" s="18" t="s">
        <v>23</v>
      </c>
      <c r="C118" s="32"/>
      <c r="D118" s="33"/>
      <c r="E118" s="74" t="s">
        <v>24</v>
      </c>
      <c r="F118" s="11">
        <f t="shared" si="1"/>
        <v>5361</v>
      </c>
      <c r="G118" s="11">
        <f>SUM(G119:G120)</f>
        <v>50</v>
      </c>
      <c r="H118" s="11">
        <f>SUM(H119:H120)</f>
        <v>5311</v>
      </c>
      <c r="I118" s="42"/>
      <c r="J118" s="43"/>
      <c r="K118" s="43"/>
    </row>
    <row r="119" spans="1:11" ht="34.5" customHeight="1" x14ac:dyDescent="0.25">
      <c r="A119" s="87"/>
      <c r="B119" s="95" t="s">
        <v>23</v>
      </c>
      <c r="C119" s="76" t="s">
        <v>102</v>
      </c>
      <c r="D119" s="95" t="s">
        <v>12</v>
      </c>
      <c r="E119" s="100" t="s">
        <v>25</v>
      </c>
      <c r="F119" s="16">
        <f t="shared" si="1"/>
        <v>50</v>
      </c>
      <c r="G119" s="16">
        <v>50</v>
      </c>
      <c r="H119" s="11"/>
      <c r="I119" s="42"/>
      <c r="J119" s="43"/>
      <c r="K119" s="43"/>
    </row>
    <row r="120" spans="1:11" ht="34.5" customHeight="1" x14ac:dyDescent="0.25">
      <c r="A120" s="87"/>
      <c r="B120" s="95"/>
      <c r="C120" s="76" t="s">
        <v>101</v>
      </c>
      <c r="D120" s="95"/>
      <c r="E120" s="100"/>
      <c r="F120" s="16">
        <f>H120</f>
        <v>5311</v>
      </c>
      <c r="G120" s="16"/>
      <c r="H120" s="46">
        <f>5068+243</f>
        <v>5311</v>
      </c>
      <c r="I120" s="42"/>
      <c r="J120" s="43"/>
      <c r="K120" s="43"/>
    </row>
    <row r="121" spans="1:11" ht="40.5" customHeight="1" x14ac:dyDescent="0.25">
      <c r="A121" s="87"/>
      <c r="B121" s="97" t="s">
        <v>37</v>
      </c>
      <c r="C121" s="97"/>
      <c r="D121" s="97"/>
      <c r="E121" s="97"/>
      <c r="F121" s="11">
        <f t="shared" ref="F121:F126" si="14">G121+H121</f>
        <v>108284.9</v>
      </c>
      <c r="G121" s="11">
        <f>G122</f>
        <v>973.4</v>
      </c>
      <c r="H121" s="11">
        <f>H122</f>
        <v>107311.5</v>
      </c>
      <c r="I121" s="42"/>
      <c r="J121" s="43"/>
      <c r="K121" s="43"/>
    </row>
    <row r="122" spans="1:11" ht="23.25" customHeight="1" x14ac:dyDescent="0.25">
      <c r="A122" s="87"/>
      <c r="B122" s="18" t="s">
        <v>21</v>
      </c>
      <c r="C122" s="32"/>
      <c r="D122" s="33"/>
      <c r="E122" s="19" t="s">
        <v>22</v>
      </c>
      <c r="F122" s="11">
        <f t="shared" si="14"/>
        <v>108284.9</v>
      </c>
      <c r="G122" s="11">
        <f>G123</f>
        <v>973.4</v>
      </c>
      <c r="H122" s="11">
        <f>H123</f>
        <v>107311.5</v>
      </c>
      <c r="I122" s="42"/>
      <c r="J122" s="43"/>
      <c r="K122" s="43"/>
    </row>
    <row r="123" spans="1:11" ht="23.25" customHeight="1" x14ac:dyDescent="0.25">
      <c r="A123" s="87"/>
      <c r="B123" s="21" t="s">
        <v>23</v>
      </c>
      <c r="C123" s="60"/>
      <c r="D123" s="60"/>
      <c r="E123" s="61" t="s">
        <v>24</v>
      </c>
      <c r="F123" s="11">
        <f t="shared" si="14"/>
        <v>108284.9</v>
      </c>
      <c r="G123" s="11">
        <f>G124+G125+G126</f>
        <v>973.4</v>
      </c>
      <c r="H123" s="11">
        <f>H124+H125+H126</f>
        <v>107311.5</v>
      </c>
      <c r="I123" s="42"/>
      <c r="J123" s="43"/>
      <c r="K123" s="43"/>
    </row>
    <row r="124" spans="1:11" s="63" customFormat="1" ht="72" customHeight="1" x14ac:dyDescent="0.25">
      <c r="A124" s="90"/>
      <c r="B124" s="79" t="s">
        <v>23</v>
      </c>
      <c r="C124" s="79" t="s">
        <v>103</v>
      </c>
      <c r="D124" s="79" t="s">
        <v>11</v>
      </c>
      <c r="E124" s="77" t="s">
        <v>31</v>
      </c>
      <c r="F124" s="16">
        <f t="shared" si="14"/>
        <v>94379.4</v>
      </c>
      <c r="G124" s="16"/>
      <c r="H124" s="46">
        <v>94379.4</v>
      </c>
      <c r="I124" s="62"/>
      <c r="J124" s="43"/>
      <c r="K124" s="43"/>
    </row>
    <row r="125" spans="1:11" s="63" customFormat="1" ht="28.5" customHeight="1" x14ac:dyDescent="0.25">
      <c r="A125" s="90"/>
      <c r="B125" s="94" t="s">
        <v>23</v>
      </c>
      <c r="C125" s="79" t="s">
        <v>122</v>
      </c>
      <c r="D125" s="94" t="s">
        <v>11</v>
      </c>
      <c r="E125" s="100" t="s">
        <v>48</v>
      </c>
      <c r="F125" s="16">
        <f t="shared" si="14"/>
        <v>973.4</v>
      </c>
      <c r="G125" s="16">
        <v>973.4</v>
      </c>
      <c r="H125" s="46"/>
      <c r="I125" s="62"/>
      <c r="J125" s="43"/>
      <c r="K125" s="43"/>
    </row>
    <row r="126" spans="1:11" s="63" customFormat="1" ht="28.5" customHeight="1" x14ac:dyDescent="0.25">
      <c r="A126" s="90"/>
      <c r="B126" s="94"/>
      <c r="C126" s="79" t="s">
        <v>121</v>
      </c>
      <c r="D126" s="94"/>
      <c r="E126" s="100"/>
      <c r="F126" s="16">
        <f t="shared" si="14"/>
        <v>12932.1</v>
      </c>
      <c r="G126" s="16"/>
      <c r="H126" s="46">
        <v>12932.1</v>
      </c>
      <c r="I126" s="62"/>
      <c r="J126" s="43"/>
      <c r="K126" s="43"/>
    </row>
    <row r="127" spans="1:11" s="63" customFormat="1" ht="27.75" customHeight="1" x14ac:dyDescent="0.25">
      <c r="A127" s="90"/>
      <c r="B127" s="104" t="s">
        <v>95</v>
      </c>
      <c r="C127" s="104"/>
      <c r="D127" s="104"/>
      <c r="E127" s="104"/>
      <c r="F127" s="11">
        <f t="shared" ref="F127" si="15">G127+H127+I127</f>
        <v>3600.1</v>
      </c>
      <c r="G127" s="11">
        <f>G128</f>
        <v>1000</v>
      </c>
      <c r="H127" s="11">
        <f>H128</f>
        <v>2600.1</v>
      </c>
      <c r="I127" s="11"/>
      <c r="J127" s="43"/>
      <c r="K127" s="43"/>
    </row>
    <row r="128" spans="1:11" s="63" customFormat="1" ht="24.75" customHeight="1" x14ac:dyDescent="0.25">
      <c r="A128" s="90"/>
      <c r="B128" s="21" t="s">
        <v>13</v>
      </c>
      <c r="C128" s="76"/>
      <c r="D128" s="79"/>
      <c r="E128" s="75" t="s">
        <v>14</v>
      </c>
      <c r="F128" s="11">
        <f>G128+H128</f>
        <v>3600.1</v>
      </c>
      <c r="G128" s="11">
        <f>G129+G133</f>
        <v>1000</v>
      </c>
      <c r="H128" s="11">
        <f>H129+H133</f>
        <v>2600.1</v>
      </c>
      <c r="I128" s="62"/>
      <c r="J128" s="43"/>
      <c r="K128" s="43"/>
    </row>
    <row r="129" spans="1:11" s="63" customFormat="1" ht="27" customHeight="1" x14ac:dyDescent="0.25">
      <c r="A129" s="90"/>
      <c r="B129" s="21" t="s">
        <v>15</v>
      </c>
      <c r="C129" s="21"/>
      <c r="D129" s="79"/>
      <c r="E129" s="75" t="s">
        <v>16</v>
      </c>
      <c r="F129" s="11">
        <f>G129+H129</f>
        <v>3600.1</v>
      </c>
      <c r="G129" s="11">
        <f>G130</f>
        <v>1000</v>
      </c>
      <c r="H129" s="11">
        <f>H130</f>
        <v>2600.1</v>
      </c>
      <c r="I129" s="62"/>
      <c r="J129" s="43"/>
      <c r="K129" s="43"/>
    </row>
    <row r="130" spans="1:11" s="63" customFormat="1" ht="40.5" customHeight="1" x14ac:dyDescent="0.25">
      <c r="A130" s="90"/>
      <c r="B130" s="79" t="s">
        <v>15</v>
      </c>
      <c r="C130" s="79" t="s">
        <v>123</v>
      </c>
      <c r="D130" s="79" t="s">
        <v>12</v>
      </c>
      <c r="E130" s="80" t="s">
        <v>96</v>
      </c>
      <c r="F130" s="16">
        <f t="shared" ref="F130" si="16">G130+H130+I130</f>
        <v>3600.1</v>
      </c>
      <c r="G130" s="16">
        <v>1000</v>
      </c>
      <c r="H130" s="16">
        <f>2600+0.1</f>
        <v>2600.1</v>
      </c>
      <c r="I130" s="62"/>
      <c r="J130" s="43"/>
      <c r="K130" s="43"/>
    </row>
    <row r="131" spans="1:11" s="6" customFormat="1" ht="30.75" customHeight="1" x14ac:dyDescent="0.25">
      <c r="A131" s="91"/>
      <c r="B131" s="103" t="s">
        <v>30</v>
      </c>
      <c r="C131" s="103"/>
      <c r="D131" s="103"/>
      <c r="E131" s="64"/>
      <c r="F131" s="11">
        <f>G131+H131+I131</f>
        <v>1623387.7</v>
      </c>
      <c r="G131" s="11">
        <f>SUM(G16+G112+G121+G127)</f>
        <v>454406.7</v>
      </c>
      <c r="H131" s="11">
        <f>SUM(H16+H112+H121+H127)</f>
        <v>1048229</v>
      </c>
      <c r="I131" s="11">
        <f>SUM(I16+I112+I121+I127)</f>
        <v>120752</v>
      </c>
    </row>
    <row r="132" spans="1:11" s="6" customFormat="1" ht="16.5" x14ac:dyDescent="0.25">
      <c r="B132" s="65"/>
      <c r="C132" s="65"/>
      <c r="D132" s="65"/>
      <c r="E132" s="65"/>
      <c r="F132" s="66"/>
      <c r="G132" s="66"/>
      <c r="H132" s="66"/>
    </row>
    <row r="133" spans="1:11" x14ac:dyDescent="0.25">
      <c r="G133" s="68"/>
      <c r="H133" s="69"/>
    </row>
    <row r="134" spans="1:11" x14ac:dyDescent="0.25">
      <c r="G134" s="70"/>
    </row>
    <row r="136" spans="1:11" x14ac:dyDescent="0.25">
      <c r="G136" s="57"/>
    </row>
  </sheetData>
  <mergeCells count="60">
    <mergeCell ref="F4:I4"/>
    <mergeCell ref="B16:E16"/>
    <mergeCell ref="B17:E17"/>
    <mergeCell ref="B12:D12"/>
    <mergeCell ref="E12:E14"/>
    <mergeCell ref="F12:F14"/>
    <mergeCell ref="B13:B14"/>
    <mergeCell ref="C13:C14"/>
    <mergeCell ref="B10:H10"/>
    <mergeCell ref="E5:H5"/>
    <mergeCell ref="B6:H6"/>
    <mergeCell ref="B7:H7"/>
    <mergeCell ref="B8:H8"/>
    <mergeCell ref="B9:H9"/>
    <mergeCell ref="D13:D14"/>
    <mergeCell ref="B131:D131"/>
    <mergeCell ref="B127:E127"/>
    <mergeCell ref="G13:G14"/>
    <mergeCell ref="H13:H14"/>
    <mergeCell ref="B121:E121"/>
    <mergeCell ref="B125:B126"/>
    <mergeCell ref="D125:D126"/>
    <mergeCell ref="E125:E126"/>
    <mergeCell ref="D91:D93"/>
    <mergeCell ref="E91:E93"/>
    <mergeCell ref="E84:E85"/>
    <mergeCell ref="B84:B85"/>
    <mergeCell ref="D84:D85"/>
    <mergeCell ref="E86:E87"/>
    <mergeCell ref="B86:B87"/>
    <mergeCell ref="G12:I12"/>
    <mergeCell ref="B112:E112"/>
    <mergeCell ref="B119:B120"/>
    <mergeCell ref="D119:D120"/>
    <mergeCell ref="E119:E120"/>
    <mergeCell ref="B108:B109"/>
    <mergeCell ref="D108:D109"/>
    <mergeCell ref="E108:E109"/>
    <mergeCell ref="I13:I14"/>
    <mergeCell ref="B101:B102"/>
    <mergeCell ref="D101:D102"/>
    <mergeCell ref="E101:E102"/>
    <mergeCell ref="B62:B64"/>
    <mergeCell ref="D62:D64"/>
    <mergeCell ref="E62:E64"/>
    <mergeCell ref="B91:B93"/>
    <mergeCell ref="D86:D87"/>
    <mergeCell ref="B23:B24"/>
    <mergeCell ref="D23:D24"/>
    <mergeCell ref="E23:E24"/>
    <mergeCell ref="B54:E54"/>
    <mergeCell ref="B60:B61"/>
    <mergeCell ref="D60:D61"/>
    <mergeCell ref="E60:E61"/>
    <mergeCell ref="B31:B32"/>
    <mergeCell ref="C31:C32"/>
    <mergeCell ref="E31:E32"/>
    <mergeCell ref="B74:B75"/>
    <mergeCell ref="D74:D75"/>
    <mergeCell ref="E74:E75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13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Пользователь</cp:lastModifiedBy>
  <cp:lastPrinted>2025-10-30T13:28:21Z</cp:lastPrinted>
  <dcterms:created xsi:type="dcterms:W3CDTF">2017-11-08T08:25:33Z</dcterms:created>
  <dcterms:modified xsi:type="dcterms:W3CDTF">2025-10-30T13:31:22Z</dcterms:modified>
</cp:coreProperties>
</file>