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42 заседание (22.08.2025)\411 О внесении изменений в решение о бюджете на 2025 год\"/>
    </mc:Choice>
  </mc:AlternateContent>
  <xr:revisionPtr revIDLastSave="0" documentId="13_ncr:1_{ABB381CD-F794-420D-B19D-E1EAEDAB5996}" xr6:coauthVersionLast="47" xr6:coauthVersionMax="47" xr10:uidLastSave="{00000000-0000-0000-0000-000000000000}"/>
  <bookViews>
    <workbookView xWindow="735" yWindow="735" windowWidth="17130" windowHeight="11385" xr2:uid="{00000000-000D-0000-FFFF-FFFF00000000}"/>
  </bookViews>
  <sheets>
    <sheet name="приложение" sheetId="9" r:id="rId1"/>
  </sheets>
  <definedNames>
    <definedName name="_xlnm._FilterDatabase" localSheetId="0" hidden="1">приложение!$A$15:$IR$15</definedName>
    <definedName name="_xlnm.Print_Titles" localSheetId="0">приложение!$15:$15</definedName>
    <definedName name="_xlnm.Print_Area" localSheetId="0">приложение!$B$1:$I$123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3" i="9" l="1"/>
  <c r="F44" i="9" l="1"/>
  <c r="G95" i="9" l="1"/>
  <c r="G88" i="9"/>
  <c r="G71" i="9"/>
  <c r="H112" i="9" l="1"/>
  <c r="H99" i="9"/>
  <c r="G99" i="9"/>
  <c r="F102" i="9"/>
  <c r="I86" i="9"/>
  <c r="G81" i="9"/>
  <c r="I80" i="9"/>
  <c r="G66" i="9"/>
  <c r="G60" i="9"/>
  <c r="H37" i="9"/>
  <c r="F46" i="9"/>
  <c r="F45" i="9"/>
  <c r="G42" i="9"/>
  <c r="G36" i="9"/>
  <c r="G35" i="9"/>
  <c r="F32" i="9"/>
  <c r="G22" i="9"/>
  <c r="F28" i="9"/>
  <c r="F72" i="9" l="1"/>
  <c r="I87" i="9" l="1"/>
  <c r="G70" i="9" l="1"/>
  <c r="G69" i="9"/>
  <c r="G51" i="9"/>
  <c r="G40" i="9"/>
  <c r="G41" i="9"/>
  <c r="G31" i="9"/>
  <c r="G38" i="9" l="1"/>
  <c r="F35" i="9"/>
  <c r="F71" i="9"/>
  <c r="G63" i="9"/>
  <c r="F85" i="9" l="1"/>
  <c r="F86" i="9"/>
  <c r="F87" i="9"/>
  <c r="F83" i="9"/>
  <c r="I82" i="9"/>
  <c r="H75" i="9"/>
  <c r="I75" i="9"/>
  <c r="F80" i="9"/>
  <c r="I74" i="9" l="1"/>
  <c r="F103" i="9" l="1"/>
  <c r="F66" i="9"/>
  <c r="G65" i="9"/>
  <c r="F65" i="9" l="1"/>
  <c r="I70" i="9" l="1"/>
  <c r="F70" i="9" s="1"/>
  <c r="I69" i="9"/>
  <c r="G62" i="9"/>
  <c r="H61" i="9"/>
  <c r="I43" i="9"/>
  <c r="G43" i="9"/>
  <c r="F43" i="9" s="1"/>
  <c r="I42" i="9"/>
  <c r="F42" i="9"/>
  <c r="I41" i="9"/>
  <c r="F41" i="9" s="1"/>
  <c r="I40" i="9"/>
  <c r="F40" i="9" s="1"/>
  <c r="I39" i="9"/>
  <c r="G39" i="9"/>
  <c r="G37" i="9" s="1"/>
  <c r="I38" i="9"/>
  <c r="H22" i="9"/>
  <c r="H21" i="9" s="1"/>
  <c r="F24" i="9"/>
  <c r="F23" i="9"/>
  <c r="F69" i="9" l="1"/>
  <c r="I67" i="9"/>
  <c r="I64" i="9" s="1"/>
  <c r="I52" i="9" s="1"/>
  <c r="F38" i="9"/>
  <c r="I37" i="9"/>
  <c r="I29" i="9" s="1"/>
  <c r="I17" i="9" s="1"/>
  <c r="F39" i="9"/>
  <c r="H29" i="9"/>
  <c r="H17" i="9" s="1"/>
  <c r="I16" i="9" l="1"/>
  <c r="I123" i="9" s="1"/>
  <c r="F79" i="9"/>
  <c r="F78" i="9"/>
  <c r="F77" i="9"/>
  <c r="F76" i="9"/>
  <c r="G94" i="9" l="1"/>
  <c r="G68" i="9"/>
  <c r="G49" i="9"/>
  <c r="H92" i="9" l="1"/>
  <c r="G92" i="9"/>
  <c r="F94" i="9"/>
  <c r="F93" i="9"/>
  <c r="H68" i="9"/>
  <c r="H67" i="9" s="1"/>
  <c r="H64" i="9" s="1"/>
  <c r="H91" i="9" l="1"/>
  <c r="H84" i="9"/>
  <c r="F84" i="9" l="1"/>
  <c r="H82" i="9"/>
  <c r="H74" i="9" s="1"/>
  <c r="H121" i="9"/>
  <c r="H120" i="9" s="1"/>
  <c r="H119" i="9" s="1"/>
  <c r="F37" i="9" l="1"/>
  <c r="H54" i="9"/>
  <c r="F100" i="9" l="1"/>
  <c r="F101" i="9"/>
  <c r="F60" i="9" l="1"/>
  <c r="F62" i="9"/>
  <c r="F59" i="9"/>
  <c r="F58" i="9"/>
  <c r="F61" i="9"/>
  <c r="H98" i="9"/>
  <c r="F122" i="9"/>
  <c r="G121" i="9"/>
  <c r="G120" i="9" s="1"/>
  <c r="G119" i="9" l="1"/>
  <c r="F119" i="9" s="1"/>
  <c r="F120" i="9"/>
  <c r="F121" i="9"/>
  <c r="G97" i="9" l="1"/>
  <c r="F95" i="9"/>
  <c r="G96" i="9" l="1"/>
  <c r="F96" i="9" s="1"/>
  <c r="F90" i="9"/>
  <c r="G89" i="9"/>
  <c r="G75" i="9"/>
  <c r="F75" i="9" s="1"/>
  <c r="F73" i="9"/>
  <c r="F31" i="9"/>
  <c r="F36" i="9"/>
  <c r="G56" i="9"/>
  <c r="F88" i="9" l="1"/>
  <c r="G82" i="9"/>
  <c r="F82" i="9" s="1"/>
  <c r="F81" i="9"/>
  <c r="F97" i="9"/>
  <c r="G67" i="9"/>
  <c r="F89" i="9"/>
  <c r="G64" i="9" l="1"/>
  <c r="F64" i="9" s="1"/>
  <c r="F67" i="9"/>
  <c r="G91" i="9"/>
  <c r="F118" i="9"/>
  <c r="F117" i="9"/>
  <c r="F116" i="9"/>
  <c r="G115" i="9"/>
  <c r="F112" i="9"/>
  <c r="F111" i="9"/>
  <c r="G110" i="9"/>
  <c r="G109" i="9" s="1"/>
  <c r="F108" i="9"/>
  <c r="F107" i="9"/>
  <c r="G106" i="9"/>
  <c r="G105" i="9" s="1"/>
  <c r="G98" i="9"/>
  <c r="F68" i="9"/>
  <c r="F63" i="9"/>
  <c r="F57" i="9"/>
  <c r="H56" i="9"/>
  <c r="H53" i="9" s="1"/>
  <c r="F55" i="9"/>
  <c r="G54" i="9"/>
  <c r="G53" i="9" s="1"/>
  <c r="F51" i="9"/>
  <c r="G50" i="9"/>
  <c r="F49" i="9"/>
  <c r="G48" i="9"/>
  <c r="F48" i="9" s="1"/>
  <c r="F34" i="9"/>
  <c r="G33" i="9"/>
  <c r="G30" i="9" s="1"/>
  <c r="F27" i="9"/>
  <c r="F26" i="9"/>
  <c r="F25" i="9"/>
  <c r="G21" i="9"/>
  <c r="F21" i="9" s="1"/>
  <c r="F20" i="9"/>
  <c r="G19" i="9"/>
  <c r="G18" i="9" s="1"/>
  <c r="F50" i="9" l="1"/>
  <c r="G47" i="9"/>
  <c r="F47" i="9" s="1"/>
  <c r="H52" i="9"/>
  <c r="H16" i="9" s="1"/>
  <c r="H110" i="9"/>
  <c r="H109" i="9" s="1"/>
  <c r="H104" i="9" s="1"/>
  <c r="G74" i="9"/>
  <c r="G52" i="9" s="1"/>
  <c r="F56" i="9"/>
  <c r="H115" i="9"/>
  <c r="H114" i="9" s="1"/>
  <c r="H113" i="9" s="1"/>
  <c r="F92" i="9"/>
  <c r="F91" i="9"/>
  <c r="F22" i="9"/>
  <c r="G114" i="9"/>
  <c r="F99" i="9"/>
  <c r="F98" i="9"/>
  <c r="F54" i="9"/>
  <c r="G104" i="9"/>
  <c r="F105" i="9"/>
  <c r="G29" i="9"/>
  <c r="F29" i="9" s="1"/>
  <c r="F30" i="9"/>
  <c r="F18" i="9"/>
  <c r="F19" i="9"/>
  <c r="F33" i="9"/>
  <c r="F106" i="9"/>
  <c r="F52" i="9" l="1"/>
  <c r="G17" i="9"/>
  <c r="F17" i="9" s="1"/>
  <c r="F74" i="9"/>
  <c r="F110" i="9"/>
  <c r="F109" i="9"/>
  <c r="F104" i="9"/>
  <c r="H123" i="9"/>
  <c r="F53" i="9"/>
  <c r="F115" i="9"/>
  <c r="F114" i="9"/>
  <c r="G113" i="9"/>
  <c r="F113" i="9" s="1"/>
  <c r="G16" i="9" l="1"/>
  <c r="F16" i="9" s="1"/>
  <c r="G123" i="9" l="1"/>
  <c r="F123" i="9" s="1"/>
</calcChain>
</file>

<file path=xl/sharedStrings.xml><?xml version="1.0" encoding="utf-8"?>
<sst xmlns="http://schemas.openxmlformats.org/spreadsheetml/2006/main" count="321" uniqueCount="160">
  <si>
    <t>Расходы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</si>
  <si>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</si>
  <si>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</si>
  <si>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</si>
  <si>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</si>
  <si>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</si>
  <si>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</si>
  <si>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</si>
  <si>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</si>
  <si>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</si>
  <si>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</si>
  <si>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</si>
  <si>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</si>
  <si>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</si>
  <si>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</si>
  <si>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</si>
  <si>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</si>
  <si>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</si>
  <si>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</si>
  <si>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</si>
  <si>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</si>
  <si>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</si>
  <si>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</si>
  <si>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</si>
  <si>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</si>
  <si>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</si>
  <si>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</si>
  <si>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</si>
  <si>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</si>
  <si>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</si>
  <si>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</si>
  <si>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</si>
  <si>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</si>
  <si>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</si>
  <si>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0800</t>
  </si>
  <si>
    <t>Культура, кинематография</t>
  </si>
  <si>
    <t>раз- дел, под- раз- дел</t>
  </si>
  <si>
    <t xml:space="preserve">  III.  Департамент имущественных и земельных отношений администрации Старооскольского городского округа</t>
  </si>
  <si>
    <t>Капитальный ремонт жилых помещений, находящихся в муниципальной собственности</t>
  </si>
  <si>
    <t>Наименование отрасли и объекта</t>
  </si>
  <si>
    <t>по объектам жизнеобеспечения и социально-культурного назначения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</si>
  <si>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</si>
  <si>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</si>
  <si>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 xml:space="preserve">2025 год всего расходов  </t>
  </si>
  <si>
    <t xml:space="preserve">  I. МКУ "Управление капитального строительства"</t>
  </si>
  <si>
    <t xml:space="preserve"> Капитальный ремонт и ремонт</t>
  </si>
  <si>
    <t>Строительство (реконструкция)</t>
  </si>
  <si>
    <t>1330144100</t>
  </si>
  <si>
    <t>Обеспечение жильем семей, имеющих детей инвалидов, нуждающихся в улучшении жилищных условий</t>
  </si>
  <si>
    <t>1105</t>
  </si>
  <si>
    <t>Другие вопросы в области физической культуры и спорта</t>
  </si>
  <si>
    <t>0702</t>
  </si>
  <si>
    <t>Общее образование</t>
  </si>
  <si>
    <t>1100</t>
  </si>
  <si>
    <t>Физическая культура и спорт</t>
  </si>
  <si>
    <t>0502</t>
  </si>
  <si>
    <t>Коммунальное хозяйство</t>
  </si>
  <si>
    <t>Строительство сетей водоснабжения РИЗ "Ладушки"</t>
  </si>
  <si>
    <t>Строительство сетей водоотведения РИЗ "Ладушки"</t>
  </si>
  <si>
    <t>0300</t>
  </si>
  <si>
    <t>0314</t>
  </si>
  <si>
    <t>Строительство гаражных боксов для специализированной пожарно- спасательной техники МКУ "Управление по делам ГО и ЧС городского округа", Белгородская область, г. Старый Оскол, мкр. Рудничный, д.23.</t>
  </si>
  <si>
    <t>Государственная экспертиза сметной документации, проектно-сметная документация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</si>
  <si>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</si>
  <si>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</si>
  <si>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0130144100</t>
  </si>
  <si>
    <t xml:space="preserve">на капитальные вложения и проведение капитальных ремонтов  на 2025 год </t>
  </si>
  <si>
    <t>Старооскольского городского округа</t>
  </si>
  <si>
    <t xml:space="preserve">                                                                                                          Приложение 7</t>
  </si>
  <si>
    <t>1102</t>
  </si>
  <si>
    <t>Массовый спорт</t>
  </si>
  <si>
    <t>"Крытый ледовый каток", Белгородская область, Старооскольский городской округ, г. Старый Оскол, ул. Центральная, земельный участок 3.</t>
  </si>
  <si>
    <t>1240124200</t>
  </si>
  <si>
    <t>0406</t>
  </si>
  <si>
    <t>Водное хозяйство</t>
  </si>
  <si>
    <t>Капитальный ремонт гидротехнического сооружения пруда на р. Боровая Потудань у с. Владимировка Старооскольского района Белгородской области</t>
  </si>
  <si>
    <t>Устройство светофорного объекта на пересечении ул. Наседкина и ул. Щепкина   г. Старый Оскол Белгородской области (с кнопкой)</t>
  </si>
  <si>
    <t>Культура</t>
  </si>
  <si>
    <t>0801</t>
  </si>
  <si>
    <t>0430224200</t>
  </si>
  <si>
    <t>Устройство светофорного объекта Т7 на между микрорайонами Дубрава квартал 1 и Дубрава квартал 3 в районе ТЦ "Строймаркет"</t>
  </si>
  <si>
    <t>Устройство тротуара по ул. Натальи Лихачевой с. Федосеевка Старооскольского городского округа</t>
  </si>
  <si>
    <t>Мир без границ – создание зоны для коммуникации жителей и развития детей в микрорайоне ИЖС "Набокинские сады" г. Старый Оскол</t>
  </si>
  <si>
    <t>Спортивно-патриотический комплекс "Донбасс-чемпион" на территории ТОС "Малая Родина" Старооскольского городского округа</t>
  </si>
  <si>
    <t>Капитальный ремонт МБОУ "Средняя общеобразовательная школа № 21", по адресу: Белгородская область, г. Старый Оскол, мкр. Юность, д. 9.</t>
  </si>
  <si>
    <t xml:space="preserve">Устройство светофорного объекта по проспекту Алексея Угарова в районе ТЦ "Перекрёсток" мкр. Дубрава квартал 1- мкр. Космос  г. Старый Оскол Белгородской области </t>
  </si>
  <si>
    <t>Капитальный ремонт МАУК ДК "Комсомолец", г.Старый Оскол, бульвар Дружбы, д.1</t>
  </si>
  <si>
    <t>Государственная экспертиза сметной документации</t>
  </si>
  <si>
    <t>Государственная экспертиза сметной документации, ПИР</t>
  </si>
  <si>
    <t>Электроснабжение</t>
  </si>
  <si>
    <t>0709</t>
  </si>
  <si>
    <t>Другие вопросы в области образования</t>
  </si>
  <si>
    <t>0804</t>
  </si>
  <si>
    <t xml:space="preserve">Другие вопросы в области культуры, кинематографии </t>
  </si>
  <si>
    <t>Капитальный ремонт дошкольных образовательных учреждений (установка ограждений)</t>
  </si>
  <si>
    <t>Устройство тротуара и сетей наружного освещения по улице Гагарина села Городище Старооскольского городского округа</t>
  </si>
  <si>
    <t>IV. МКУ "Центр по благоустройству сельских территорий"</t>
  </si>
  <si>
    <t>Создание и обустройство детской площадки в селе Лапыгино</t>
  </si>
  <si>
    <t>1340344300</t>
  </si>
  <si>
    <t>0230124200</t>
  </si>
  <si>
    <t>0430124200</t>
  </si>
  <si>
    <t>Капитальный ремонт спортивного зала вольной борьбы МБУ "СШОР №2", Белгородская область, г. Старый Оскол, мкр. Интернациональный, д.28</t>
  </si>
  <si>
    <t>0640371520</t>
  </si>
  <si>
    <t>0640324200</t>
  </si>
  <si>
    <t>0540270820</t>
  </si>
  <si>
    <t>134039Д090</t>
  </si>
  <si>
    <t>131И89Д140</t>
  </si>
  <si>
    <t>13403SД090</t>
  </si>
  <si>
    <t>1240224200</t>
  </si>
  <si>
    <t>0730140240</t>
  </si>
  <si>
    <t>07301S0240</t>
  </si>
  <si>
    <t>0730144100</t>
  </si>
  <si>
    <t>1240344100</t>
  </si>
  <si>
    <t>15201ИS001</t>
  </si>
  <si>
    <t>15201ИS002</t>
  </si>
  <si>
    <t>15201ИS003</t>
  </si>
  <si>
    <t>15201ИS004</t>
  </si>
  <si>
    <t>15201ИS005</t>
  </si>
  <si>
    <t>15201ИS006</t>
  </si>
  <si>
    <t>12403L0650</t>
  </si>
  <si>
    <t>15201ИS007</t>
  </si>
  <si>
    <t>15201ИS008</t>
  </si>
  <si>
    <t>0530173900</t>
  </si>
  <si>
    <t>05301S3900</t>
  </si>
  <si>
    <t>10401L5763</t>
  </si>
  <si>
    <t>Капитальный ремонт кровли детского сада на 99 дошкольных мест с начальной школой на 100 школьных мест в мкр. "Пушкарские дачи" в г. Старый Оскол, Старооскольского городского округа Белгородской области</t>
  </si>
  <si>
    <t>0430140180</t>
  </si>
  <si>
    <t>04301S0180</t>
  </si>
  <si>
    <t>151И455550</t>
  </si>
  <si>
    <t>0230140100</t>
  </si>
  <si>
    <t>02301S0100</t>
  </si>
  <si>
    <t>021Ю457501</t>
  </si>
  <si>
    <t>021Ю4A7501</t>
  </si>
  <si>
    <t>Обустройство детской площадки в РИЗ "Ладушки" г. Старый Оскол</t>
  </si>
  <si>
    <t>Комплексное благоустройство дворовой территории г. Старый Оскол, ул. Комсомольская, д.39</t>
  </si>
  <si>
    <t>Ремонт пешеходной дорожки и ступенек в районе жилого дома № 14 мкр. Лесной г. Старый Оскол Белгородской области</t>
  </si>
  <si>
    <t>Благоустройство береговой линии реки Оскол в Ездоцкой слободе от моста на ул. 1-й Конной Армии до ул.Гагарина</t>
  </si>
  <si>
    <t>Строительство автомобильных дорог в РИЗ "Вишенки" в г.Старый Оскол Белгородской области</t>
  </si>
  <si>
    <t>133019Д030</t>
  </si>
  <si>
    <t>13301SД030</t>
  </si>
  <si>
    <t>МАОУ "Образовательный комплекс "Лицей № 3" имени С.П. Угаровой", мкр. Интернациональный, 1А</t>
  </si>
  <si>
    <t>1240324200</t>
  </si>
  <si>
    <t>0730124200</t>
  </si>
  <si>
    <t>тыс.рублей</t>
  </si>
  <si>
    <t>прочие поступления</t>
  </si>
  <si>
    <t>Государственная экспертиза сметной документации, проектно-сметная документация, диагностика</t>
  </si>
  <si>
    <t>Благоустройство дворовых территорий многоквартирных жилых домов г. Старый Оскол</t>
  </si>
  <si>
    <t>Водоснабжение и водоотведение</t>
  </si>
  <si>
    <t>Разработка проектно-сметной документации на объект: "Благоустройство набережной реки Оскол (3 очередь)", по адресу: Белгородская обл., г. Старый Оскол, в районе улиц Дачной, Транспортной, Стрелецкой и площади перед домом 47а по ул. Октябрьской</t>
  </si>
  <si>
    <t>1240244100</t>
  </si>
  <si>
    <t>Газоснабжение</t>
  </si>
  <si>
    <t>Капитальный ремонт МБУ "Спортивная школа "Спартак", г. Старый Оскол, микрорайон Горняк, д.22а (2 очередь)</t>
  </si>
  <si>
    <t>Благоустройство территории, обустройство тротуаров и подъездных путей для многодетных семей</t>
  </si>
  <si>
    <t>Строительство физкультурно-оздоровительного комплекса в г.Старый Оскол, мкр. Дубрава, квартал 1,19а</t>
  </si>
  <si>
    <t xml:space="preserve">Капитальный ремонт автомобильных дорог в                       c. Сорокино, ул.Тракторная, ул. Дачная, п. Аксеновка, ул. Песочная Старооскольского городского округа </t>
  </si>
  <si>
    <t>Капитальный ремонт автомобильных дорог в ИЖС "Строитель" с. Незнамово Старооскольского городского округа Белгородской области</t>
  </si>
  <si>
    <t>Капитальный ремонт кровли детского сада на 99 дошкольных мест с начальной школой на 100 школьных мест в мкр. "Северный" в г. Старый Оскол, Старооскольского городского округа Белгородской области</t>
  </si>
  <si>
    <t>МАОУ "ЦО №1 "Академия знаний" имени Н.П. Шевченко", г. Старый Оскол, мкр. Степной, д.33</t>
  </si>
  <si>
    <t>Устройство покрытий для детских игровых площадок</t>
  </si>
  <si>
    <t xml:space="preserve">       от 22 августа 2025 г. № 411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</si>
</sst>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05">
    <xf numFmtId="0" fontId="0" fillId="0" borderId="0" xfId="0"/>
    <xf numFmtId="0" fontId="6" fillId="0" borderId="0" xfId="0" applyFont="1" applyFill="1"/>
    <xf numFmtId="0" fontId="1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/>
    <xf numFmtId="0" fontId="2" fillId="0" borderId="0" xfId="0" applyFont="1" applyFill="1"/>
    <xf numFmtId="0" fontId="7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164" fontId="3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6" fillId="0" borderId="0" xfId="0" applyNumberFormat="1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49" fontId="1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164" fontId="8" fillId="0" borderId="1" xfId="1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wrapText="1"/>
    </xf>
    <xf numFmtId="49" fontId="3" fillId="0" borderId="1" xfId="2" applyNumberFormat="1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6" fillId="0" borderId="1" xfId="1" applyFont="1" applyFill="1" applyBorder="1"/>
    <xf numFmtId="0" fontId="3" fillId="0" borderId="1" xfId="1" applyFont="1" applyFill="1" applyBorder="1" applyAlignment="1">
      <alignment horizontal="center" vertical="center" wrapText="1"/>
    </xf>
    <xf numFmtId="0" fontId="7" fillId="0" borderId="1" xfId="0" applyFont="1" applyFill="1" applyBorder="1"/>
    <xf numFmtId="0" fontId="7" fillId="0" borderId="0" xfId="0" applyFont="1" applyFill="1" applyAlignment="1">
      <alignment horizontal="center"/>
    </xf>
    <xf numFmtId="0" fontId="2" fillId="0" borderId="1" xfId="1" applyFont="1" applyFill="1" applyBorder="1" applyAlignment="1">
      <alignment vertical="center" wrapText="1"/>
    </xf>
    <xf numFmtId="0" fontId="6" fillId="0" borderId="1" xfId="0" applyFont="1" applyFill="1" applyBorder="1"/>
    <xf numFmtId="0" fontId="6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1" xfId="2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/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165" fontId="4" fillId="0" borderId="0" xfId="0" applyNumberFormat="1" applyFont="1" applyFill="1"/>
    <xf numFmtId="0" fontId="3" fillId="0" borderId="1" xfId="0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164" fontId="6" fillId="0" borderId="0" xfId="0" applyNumberFormat="1" applyFont="1" applyFill="1" applyAlignment="1">
      <alignment horizontal="center"/>
    </xf>
    <xf numFmtId="0" fontId="1" fillId="0" borderId="1" xfId="0" applyFont="1" applyFill="1" applyBorder="1"/>
    <xf numFmtId="164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3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0" fillId="0" borderId="0" xfId="0" applyAlignment="1"/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128"/>
  <sheetViews>
    <sheetView tabSelected="1" topLeftCell="B1" zoomScale="90" zoomScaleNormal="90" zoomScaleSheetLayoutView="100" workbookViewId="0">
      <selection activeCell="F4" sqref="F4:I4"/>
    </sheetView>
  </sheetViews>
  <sheetFormatPr defaultRowHeight="15.75" x14ac:dyDescent="0.25"/>
  <cols>
    <col min="1" max="1" width="3.875" style="1" hidden="1" customWidth="1"/>
    <col min="2" max="2" width="5.375" style="2" customWidth="1"/>
    <col min="3" max="3" width="13.5" style="2" customWidth="1"/>
    <col min="4" max="4" width="5.25" style="2" customWidth="1"/>
    <col min="5" max="5" width="53.625" style="81" customWidth="1"/>
    <col min="6" max="6" width="11.75" style="70" customWidth="1"/>
    <col min="7" max="7" width="10.25" style="70" customWidth="1"/>
    <col min="8" max="8" width="11.25" style="70" customWidth="1"/>
    <col min="9" max="9" width="9.875" style="1" customWidth="1"/>
    <col min="10" max="10" width="10.875" style="1" customWidth="1"/>
    <col min="11" max="11" width="10.125" style="1" customWidth="1"/>
    <col min="12" max="16384" width="9" style="1"/>
  </cols>
  <sheetData>
    <row r="1" spans="1:11" ht="16.5" x14ac:dyDescent="0.25">
      <c r="E1" s="3" t="s">
        <v>68</v>
      </c>
      <c r="F1" s="4"/>
      <c r="G1" s="4"/>
      <c r="H1" s="4"/>
    </row>
    <row r="2" spans="1:11" ht="16.5" x14ac:dyDescent="0.25">
      <c r="E2" s="3" t="s">
        <v>41</v>
      </c>
      <c r="F2" s="4"/>
      <c r="G2" s="4"/>
      <c r="H2" s="4"/>
    </row>
    <row r="3" spans="1:11" ht="16.5" x14ac:dyDescent="0.25">
      <c r="E3" s="3" t="s">
        <v>42</v>
      </c>
      <c r="F3" s="4"/>
      <c r="G3" s="4"/>
      <c r="H3" s="4"/>
    </row>
    <row r="4" spans="1:11" ht="14.25" customHeight="1" x14ac:dyDescent="0.25">
      <c r="E4" s="3"/>
      <c r="F4" s="103" t="s">
        <v>159</v>
      </c>
      <c r="G4" s="104"/>
      <c r="H4" s="104"/>
      <c r="I4" s="104"/>
    </row>
    <row r="5" spans="1:11" ht="14.25" hidden="1" customHeight="1" x14ac:dyDescent="0.25">
      <c r="E5" s="102"/>
      <c r="F5" s="102"/>
      <c r="G5" s="102"/>
      <c r="H5" s="102"/>
    </row>
    <row r="6" spans="1:11" ht="16.5" x14ac:dyDescent="0.25">
      <c r="B6" s="101" t="s">
        <v>0</v>
      </c>
      <c r="C6" s="101"/>
      <c r="D6" s="101"/>
      <c r="E6" s="101"/>
      <c r="F6" s="101"/>
      <c r="G6" s="101"/>
      <c r="H6" s="101"/>
    </row>
    <row r="7" spans="1:11" ht="16.5" x14ac:dyDescent="0.25">
      <c r="B7" s="101" t="s">
        <v>66</v>
      </c>
      <c r="C7" s="101"/>
      <c r="D7" s="101"/>
      <c r="E7" s="101"/>
      <c r="F7" s="101"/>
      <c r="G7" s="101"/>
      <c r="H7" s="101"/>
    </row>
    <row r="8" spans="1:11" s="6" customFormat="1" ht="16.5" x14ac:dyDescent="0.25">
      <c r="B8" s="101" t="s">
        <v>40</v>
      </c>
      <c r="C8" s="101"/>
      <c r="D8" s="101"/>
      <c r="E8" s="101"/>
      <c r="F8" s="101"/>
      <c r="G8" s="101"/>
      <c r="H8" s="101"/>
    </row>
    <row r="9" spans="1:11" s="6" customFormat="1" ht="16.5" x14ac:dyDescent="0.25">
      <c r="B9" s="101" t="s">
        <v>67</v>
      </c>
      <c r="C9" s="101"/>
      <c r="D9" s="101"/>
      <c r="E9" s="101"/>
      <c r="F9" s="101"/>
      <c r="G9" s="101"/>
      <c r="H9" s="101"/>
    </row>
    <row r="10" spans="1:11" s="6" customFormat="1" ht="15.75" hidden="1" customHeight="1" x14ac:dyDescent="0.25">
      <c r="B10" s="101"/>
      <c r="C10" s="101"/>
      <c r="D10" s="101"/>
      <c r="E10" s="101"/>
      <c r="F10" s="101"/>
      <c r="G10" s="101"/>
      <c r="H10" s="101"/>
    </row>
    <row r="11" spans="1:11" ht="21" customHeight="1" x14ac:dyDescent="0.25">
      <c r="B11" s="5"/>
      <c r="C11" s="5"/>
      <c r="D11" s="5"/>
      <c r="E11" s="3"/>
      <c r="F11" s="7"/>
      <c r="G11" s="7"/>
      <c r="H11" s="8"/>
      <c r="I11" s="1" t="s">
        <v>143</v>
      </c>
    </row>
    <row r="12" spans="1:11" ht="16.5" customHeight="1" x14ac:dyDescent="0.25">
      <c r="B12" s="97" t="s">
        <v>1</v>
      </c>
      <c r="C12" s="97"/>
      <c r="D12" s="97"/>
      <c r="E12" s="96" t="s">
        <v>39</v>
      </c>
      <c r="F12" s="96" t="s">
        <v>43</v>
      </c>
      <c r="G12" s="97" t="s">
        <v>2</v>
      </c>
      <c r="H12" s="97"/>
      <c r="I12" s="97"/>
    </row>
    <row r="13" spans="1:11" ht="15.75" customHeight="1" x14ac:dyDescent="0.25">
      <c r="B13" s="96" t="s">
        <v>36</v>
      </c>
      <c r="C13" s="96" t="s">
        <v>3</v>
      </c>
      <c r="D13" s="96" t="s">
        <v>4</v>
      </c>
      <c r="E13" s="96"/>
      <c r="F13" s="96"/>
      <c r="G13" s="96" t="s">
        <v>5</v>
      </c>
      <c r="H13" s="96" t="s">
        <v>6</v>
      </c>
      <c r="I13" s="96" t="s">
        <v>144</v>
      </c>
    </row>
    <row r="14" spans="1:11" ht="117.75" customHeight="1" x14ac:dyDescent="0.25">
      <c r="B14" s="96"/>
      <c r="C14" s="96"/>
      <c r="D14" s="96"/>
      <c r="E14" s="96"/>
      <c r="F14" s="96"/>
      <c r="G14" s="96"/>
      <c r="H14" s="96"/>
      <c r="I14" s="96"/>
    </row>
    <row r="15" spans="1:11" ht="17.25" customHeight="1" x14ac:dyDescent="0.25">
      <c r="B15" s="9">
        <v>1</v>
      </c>
      <c r="C15" s="9">
        <v>2</v>
      </c>
      <c r="D15" s="9">
        <v>3</v>
      </c>
      <c r="E15" s="9">
        <v>4</v>
      </c>
      <c r="F15" s="9">
        <v>5</v>
      </c>
      <c r="G15" s="9">
        <v>6</v>
      </c>
      <c r="H15" s="9">
        <v>7</v>
      </c>
      <c r="I15" s="9">
        <v>8</v>
      </c>
    </row>
    <row r="16" spans="1:11" s="13" customFormat="1" ht="28.5" customHeight="1" x14ac:dyDescent="0.25">
      <c r="A16" s="10"/>
      <c r="B16" s="99" t="s">
        <v>44</v>
      </c>
      <c r="C16" s="99"/>
      <c r="D16" s="99"/>
      <c r="E16" s="99"/>
      <c r="F16" s="11">
        <f>SUM(G16+H16+I16)</f>
        <v>1504899</v>
      </c>
      <c r="G16" s="11">
        <f>G17+G52</f>
        <v>448790.60000000003</v>
      </c>
      <c r="H16" s="11">
        <f>H17+H52</f>
        <v>933006.4</v>
      </c>
      <c r="I16" s="11">
        <f>I17+I52</f>
        <v>123102</v>
      </c>
      <c r="J16" s="12"/>
      <c r="K16" s="12"/>
    </row>
    <row r="17" spans="1:11" s="13" customFormat="1" ht="27" customHeight="1" x14ac:dyDescent="0.25">
      <c r="A17" s="10"/>
      <c r="B17" s="100" t="s">
        <v>46</v>
      </c>
      <c r="C17" s="100"/>
      <c r="D17" s="100"/>
      <c r="E17" s="100"/>
      <c r="F17" s="14">
        <f>G17+H17+I17</f>
        <v>457323.9</v>
      </c>
      <c r="G17" s="14">
        <f>G18+G21+G29+G47</f>
        <v>349131.60000000003</v>
      </c>
      <c r="H17" s="14">
        <f>H18+H21+H29+H47</f>
        <v>107620.3</v>
      </c>
      <c r="I17" s="14">
        <f t="shared" ref="I17" si="0">I18+I21+I29+I47</f>
        <v>572</v>
      </c>
      <c r="J17" s="12"/>
      <c r="K17" s="12"/>
    </row>
    <row r="18" spans="1:11" s="13" customFormat="1" ht="40.5" customHeight="1" x14ac:dyDescent="0.25">
      <c r="A18" s="10"/>
      <c r="B18" s="15" t="s">
        <v>59</v>
      </c>
      <c r="C18" s="15"/>
      <c r="D18" s="15"/>
      <c r="E18" s="15" t="s">
        <v>63</v>
      </c>
      <c r="F18" s="11">
        <f t="shared" ref="F18:F111" si="1">G18+H18</f>
        <v>5000</v>
      </c>
      <c r="G18" s="14">
        <f>G19</f>
        <v>5000</v>
      </c>
      <c r="H18" s="14"/>
      <c r="I18" s="10"/>
      <c r="J18" s="12"/>
      <c r="K18" s="12"/>
    </row>
    <row r="19" spans="1:11" s="13" customFormat="1" ht="41.25" customHeight="1" x14ac:dyDescent="0.25">
      <c r="A19" s="10"/>
      <c r="B19" s="15" t="s">
        <v>60</v>
      </c>
      <c r="C19" s="15"/>
      <c r="D19" s="15"/>
      <c r="E19" s="15" t="s">
        <v>64</v>
      </c>
      <c r="F19" s="11">
        <f t="shared" si="1"/>
        <v>5000</v>
      </c>
      <c r="G19" s="14">
        <f>G20</f>
        <v>5000</v>
      </c>
      <c r="H19" s="14"/>
      <c r="I19" s="10"/>
      <c r="J19" s="12"/>
      <c r="K19" s="12"/>
    </row>
    <row r="20" spans="1:11" s="13" customFormat="1" ht="89.25" customHeight="1" x14ac:dyDescent="0.25">
      <c r="A20" s="10"/>
      <c r="B20" s="16" t="s">
        <v>60</v>
      </c>
      <c r="C20" s="17" t="s">
        <v>65</v>
      </c>
      <c r="D20" s="17" t="s">
        <v>11</v>
      </c>
      <c r="E20" s="16" t="s">
        <v>61</v>
      </c>
      <c r="F20" s="18">
        <f t="shared" si="1"/>
        <v>5000</v>
      </c>
      <c r="G20" s="19">
        <v>5000</v>
      </c>
      <c r="H20" s="19"/>
      <c r="I20" s="10"/>
      <c r="J20" s="12"/>
      <c r="K20" s="12"/>
    </row>
    <row r="21" spans="1:11" s="13" customFormat="1" ht="30.75" customHeight="1" x14ac:dyDescent="0.25">
      <c r="A21" s="10"/>
      <c r="B21" s="20" t="s">
        <v>7</v>
      </c>
      <c r="C21" s="20"/>
      <c r="D21" s="20"/>
      <c r="E21" s="21" t="s">
        <v>8</v>
      </c>
      <c r="F21" s="14">
        <f>G21+H21</f>
        <v>103050.90000000001</v>
      </c>
      <c r="G21" s="14">
        <f>G22</f>
        <v>15530.6</v>
      </c>
      <c r="H21" s="14">
        <f>H22</f>
        <v>87520.3</v>
      </c>
      <c r="I21" s="10"/>
      <c r="J21" s="12"/>
      <c r="K21" s="12"/>
    </row>
    <row r="22" spans="1:11" s="13" customFormat="1" ht="29.25" customHeight="1" x14ac:dyDescent="0.25">
      <c r="A22" s="10"/>
      <c r="B22" s="20" t="s">
        <v>9</v>
      </c>
      <c r="C22" s="20"/>
      <c r="D22" s="20"/>
      <c r="E22" s="21" t="s">
        <v>10</v>
      </c>
      <c r="F22" s="14">
        <f>G22+H22</f>
        <v>103050.90000000001</v>
      </c>
      <c r="G22" s="14">
        <f>G25+G26+G27+G23+G24+G28</f>
        <v>15530.6</v>
      </c>
      <c r="H22" s="14">
        <f>H25+H26+H27+H23+H24</f>
        <v>87520.3</v>
      </c>
      <c r="I22" s="10"/>
      <c r="J22" s="12"/>
      <c r="K22" s="12"/>
    </row>
    <row r="23" spans="1:11" s="13" customFormat="1" ht="32.25" customHeight="1" x14ac:dyDescent="0.25">
      <c r="A23" s="10"/>
      <c r="B23" s="88" t="s">
        <v>9</v>
      </c>
      <c r="C23" s="17" t="s">
        <v>138</v>
      </c>
      <c r="D23" s="88" t="s">
        <v>11</v>
      </c>
      <c r="E23" s="89" t="s">
        <v>137</v>
      </c>
      <c r="F23" s="19">
        <f>G23+H23</f>
        <v>87520.3</v>
      </c>
      <c r="G23" s="19"/>
      <c r="H23" s="19">
        <v>87520.3</v>
      </c>
      <c r="I23" s="10"/>
      <c r="J23" s="12"/>
      <c r="K23" s="12"/>
    </row>
    <row r="24" spans="1:11" s="13" customFormat="1" ht="30" customHeight="1" x14ac:dyDescent="0.25">
      <c r="A24" s="10"/>
      <c r="B24" s="88"/>
      <c r="C24" s="17" t="s">
        <v>139</v>
      </c>
      <c r="D24" s="88"/>
      <c r="E24" s="89"/>
      <c r="F24" s="19">
        <f>G24+H24</f>
        <v>6587.5</v>
      </c>
      <c r="G24" s="19">
        <v>6587.5</v>
      </c>
      <c r="H24" s="19"/>
      <c r="I24" s="10"/>
      <c r="J24" s="12"/>
      <c r="K24" s="12"/>
    </row>
    <row r="25" spans="1:11" s="13" customFormat="1" ht="69" customHeight="1" x14ac:dyDescent="0.25">
      <c r="A25" s="10"/>
      <c r="B25" s="17" t="s">
        <v>9</v>
      </c>
      <c r="C25" s="17" t="s">
        <v>47</v>
      </c>
      <c r="D25" s="17" t="s">
        <v>12</v>
      </c>
      <c r="E25" s="22" t="s">
        <v>85</v>
      </c>
      <c r="F25" s="19">
        <f>G25+H25</f>
        <v>2651.3</v>
      </c>
      <c r="G25" s="19">
        <v>2651.3</v>
      </c>
      <c r="H25" s="19"/>
      <c r="I25" s="10"/>
      <c r="J25" s="12"/>
      <c r="K25" s="12"/>
    </row>
    <row r="26" spans="1:11" s="13" customFormat="1" ht="64.5" customHeight="1" x14ac:dyDescent="0.25">
      <c r="A26" s="10"/>
      <c r="B26" s="17" t="s">
        <v>9</v>
      </c>
      <c r="C26" s="17" t="s">
        <v>47</v>
      </c>
      <c r="D26" s="17" t="s">
        <v>12</v>
      </c>
      <c r="E26" s="22" t="s">
        <v>76</v>
      </c>
      <c r="F26" s="19">
        <f t="shared" ref="F26:F28" si="2">G26+H26</f>
        <v>5571.8</v>
      </c>
      <c r="G26" s="19">
        <v>5571.8</v>
      </c>
      <c r="H26" s="19"/>
      <c r="I26" s="10"/>
      <c r="J26" s="12"/>
      <c r="K26" s="12"/>
    </row>
    <row r="27" spans="1:11" s="13" customFormat="1" ht="59.25" customHeight="1" x14ac:dyDescent="0.25">
      <c r="A27" s="10"/>
      <c r="B27" s="17" t="s">
        <v>9</v>
      </c>
      <c r="C27" s="17" t="s">
        <v>47</v>
      </c>
      <c r="D27" s="17" t="s">
        <v>12</v>
      </c>
      <c r="E27" s="22" t="s">
        <v>80</v>
      </c>
      <c r="F27" s="19">
        <f t="shared" si="2"/>
        <v>320</v>
      </c>
      <c r="G27" s="19">
        <v>320</v>
      </c>
      <c r="H27" s="19"/>
      <c r="I27" s="10"/>
      <c r="J27" s="12"/>
      <c r="K27" s="12"/>
    </row>
    <row r="28" spans="1:11" s="13" customFormat="1" ht="59.25" customHeight="1" x14ac:dyDescent="0.25">
      <c r="A28" s="10"/>
      <c r="B28" s="17" t="s">
        <v>9</v>
      </c>
      <c r="C28" s="17" t="s">
        <v>47</v>
      </c>
      <c r="D28" s="17" t="s">
        <v>11</v>
      </c>
      <c r="E28" s="22" t="s">
        <v>62</v>
      </c>
      <c r="F28" s="19">
        <f t="shared" si="2"/>
        <v>400</v>
      </c>
      <c r="G28" s="19">
        <v>400</v>
      </c>
      <c r="H28" s="19"/>
      <c r="I28" s="10"/>
      <c r="J28" s="12"/>
      <c r="K28" s="12"/>
    </row>
    <row r="29" spans="1:11" s="13" customFormat="1" ht="27" customHeight="1" x14ac:dyDescent="0.25">
      <c r="A29" s="10"/>
      <c r="B29" s="20" t="s">
        <v>13</v>
      </c>
      <c r="C29" s="20"/>
      <c r="D29" s="20"/>
      <c r="E29" s="21" t="s">
        <v>14</v>
      </c>
      <c r="F29" s="11">
        <f>G29+H29+I29</f>
        <v>122745.80000000002</v>
      </c>
      <c r="G29" s="11">
        <f>G30+G37</f>
        <v>102073.80000000002</v>
      </c>
      <c r="H29" s="11">
        <f t="shared" ref="H29:I29" si="3">H30+H37</f>
        <v>20100</v>
      </c>
      <c r="I29" s="11">
        <f t="shared" si="3"/>
        <v>572</v>
      </c>
      <c r="J29" s="23"/>
      <c r="K29" s="12"/>
    </row>
    <row r="30" spans="1:11" s="13" customFormat="1" ht="28.5" customHeight="1" x14ac:dyDescent="0.25">
      <c r="A30" s="10"/>
      <c r="B30" s="24" t="s">
        <v>55</v>
      </c>
      <c r="C30" s="25"/>
      <c r="D30" s="25"/>
      <c r="E30" s="26" t="s">
        <v>56</v>
      </c>
      <c r="F30" s="11">
        <f t="shared" si="1"/>
        <v>48290.9</v>
      </c>
      <c r="G30" s="11">
        <f>SUM(G31:G36)</f>
        <v>48290.9</v>
      </c>
      <c r="H30" s="11"/>
      <c r="I30" s="11"/>
      <c r="J30" s="23"/>
      <c r="K30" s="12"/>
    </row>
    <row r="31" spans="1:11" s="31" customFormat="1" ht="30" customHeight="1" x14ac:dyDescent="0.25">
      <c r="A31" s="27"/>
      <c r="B31" s="28" t="s">
        <v>55</v>
      </c>
      <c r="C31" s="17" t="s">
        <v>112</v>
      </c>
      <c r="D31" s="28" t="s">
        <v>11</v>
      </c>
      <c r="E31" s="22" t="s">
        <v>89</v>
      </c>
      <c r="F31" s="19">
        <f t="shared" ref="F31:F36" si="4">G31+H31</f>
        <v>630</v>
      </c>
      <c r="G31" s="18">
        <f>1000-120-250</f>
        <v>630</v>
      </c>
      <c r="H31" s="18"/>
      <c r="I31" s="27"/>
      <c r="J31" s="29"/>
      <c r="K31" s="30"/>
    </row>
    <row r="32" spans="1:11" s="31" customFormat="1" ht="30" customHeight="1" x14ac:dyDescent="0.25">
      <c r="A32" s="27"/>
      <c r="B32" s="28" t="s">
        <v>55</v>
      </c>
      <c r="C32" s="17" t="s">
        <v>112</v>
      </c>
      <c r="D32" s="28" t="s">
        <v>11</v>
      </c>
      <c r="E32" s="22" t="s">
        <v>150</v>
      </c>
      <c r="F32" s="19">
        <f t="shared" si="4"/>
        <v>100</v>
      </c>
      <c r="G32" s="18">
        <v>100</v>
      </c>
      <c r="H32" s="18"/>
      <c r="I32" s="27"/>
      <c r="J32" s="29"/>
      <c r="K32" s="30"/>
    </row>
    <row r="33" spans="1:11" s="13" customFormat="1" ht="32.25" customHeight="1" x14ac:dyDescent="0.25">
      <c r="A33" s="10"/>
      <c r="B33" s="28" t="s">
        <v>55</v>
      </c>
      <c r="C33" s="17" t="s">
        <v>112</v>
      </c>
      <c r="D33" s="28" t="s">
        <v>11</v>
      </c>
      <c r="E33" s="22" t="s">
        <v>57</v>
      </c>
      <c r="F33" s="19">
        <f t="shared" si="4"/>
        <v>20000</v>
      </c>
      <c r="G33" s="19">
        <f>20000</f>
        <v>20000</v>
      </c>
      <c r="H33" s="19"/>
      <c r="I33" s="10"/>
      <c r="J33" s="23"/>
      <c r="K33" s="12"/>
    </row>
    <row r="34" spans="1:11" s="13" customFormat="1" ht="32.25" customHeight="1" x14ac:dyDescent="0.25">
      <c r="A34" s="10"/>
      <c r="B34" s="28" t="s">
        <v>55</v>
      </c>
      <c r="C34" s="17" t="s">
        <v>112</v>
      </c>
      <c r="D34" s="28" t="s">
        <v>11</v>
      </c>
      <c r="E34" s="22" t="s">
        <v>58</v>
      </c>
      <c r="F34" s="19">
        <f t="shared" si="4"/>
        <v>9300</v>
      </c>
      <c r="G34" s="19">
        <v>9300</v>
      </c>
      <c r="H34" s="19"/>
      <c r="I34" s="10"/>
      <c r="J34" s="23"/>
      <c r="K34" s="12"/>
    </row>
    <row r="35" spans="1:11" s="13" customFormat="1" ht="32.25" customHeight="1" x14ac:dyDescent="0.25">
      <c r="A35" s="10"/>
      <c r="B35" s="28" t="s">
        <v>55</v>
      </c>
      <c r="C35" s="32" t="s">
        <v>112</v>
      </c>
      <c r="D35" s="28" t="s">
        <v>11</v>
      </c>
      <c r="E35" s="22" t="s">
        <v>147</v>
      </c>
      <c r="F35" s="19">
        <f t="shared" si="4"/>
        <v>17601.900000000001</v>
      </c>
      <c r="G35" s="19">
        <f>4500-4500+16586.9+4121-3106</f>
        <v>17601.900000000001</v>
      </c>
      <c r="H35" s="19"/>
      <c r="I35" s="10"/>
      <c r="J35" s="23"/>
      <c r="K35" s="12"/>
    </row>
    <row r="36" spans="1:11" s="13" customFormat="1" ht="32.25" customHeight="1" x14ac:dyDescent="0.25">
      <c r="A36" s="10"/>
      <c r="B36" s="28" t="s">
        <v>55</v>
      </c>
      <c r="C36" s="17" t="s">
        <v>112</v>
      </c>
      <c r="D36" s="28" t="s">
        <v>11</v>
      </c>
      <c r="E36" s="22" t="s">
        <v>88</v>
      </c>
      <c r="F36" s="19">
        <f t="shared" si="4"/>
        <v>659</v>
      </c>
      <c r="G36" s="19">
        <f>5000-4121-220</f>
        <v>659</v>
      </c>
      <c r="H36" s="19"/>
      <c r="I36" s="10"/>
      <c r="J36" s="23"/>
      <c r="K36" s="12"/>
    </row>
    <row r="37" spans="1:11" s="13" customFormat="1" ht="27.75" customHeight="1" x14ac:dyDescent="0.25">
      <c r="A37" s="10"/>
      <c r="B37" s="20" t="s">
        <v>15</v>
      </c>
      <c r="C37" s="20"/>
      <c r="D37" s="20"/>
      <c r="E37" s="21" t="s">
        <v>16</v>
      </c>
      <c r="F37" s="11">
        <f>G37+H37+I37</f>
        <v>74454.900000000009</v>
      </c>
      <c r="G37" s="11">
        <f>SUM(G38:G46)</f>
        <v>53782.900000000009</v>
      </c>
      <c r="H37" s="11">
        <f t="shared" ref="H37:I37" si="5">SUM(H38:H46)</f>
        <v>20100</v>
      </c>
      <c r="I37" s="11">
        <f t="shared" si="5"/>
        <v>572</v>
      </c>
      <c r="J37" s="12"/>
      <c r="K37" s="12"/>
    </row>
    <row r="38" spans="1:11" s="13" customFormat="1" ht="45.75" customHeight="1" x14ac:dyDescent="0.25">
      <c r="A38" s="10"/>
      <c r="B38" s="17" t="s">
        <v>15</v>
      </c>
      <c r="C38" s="28" t="s">
        <v>113</v>
      </c>
      <c r="D38" s="17" t="s">
        <v>11</v>
      </c>
      <c r="E38" s="33" t="s">
        <v>81</v>
      </c>
      <c r="F38" s="18">
        <f>G38+H38+I38</f>
        <v>10674.7</v>
      </c>
      <c r="G38" s="18">
        <f>7324.7-16</f>
        <v>7308.7</v>
      </c>
      <c r="H38" s="18">
        <v>3350</v>
      </c>
      <c r="I38" s="34">
        <f>1+15</f>
        <v>16</v>
      </c>
      <c r="J38" s="12"/>
      <c r="K38" s="12"/>
    </row>
    <row r="39" spans="1:11" s="13" customFormat="1" ht="40.5" customHeight="1" x14ac:dyDescent="0.25">
      <c r="A39" s="10"/>
      <c r="B39" s="17" t="s">
        <v>15</v>
      </c>
      <c r="C39" s="28" t="s">
        <v>114</v>
      </c>
      <c r="D39" s="17" t="s">
        <v>12</v>
      </c>
      <c r="E39" s="33" t="s">
        <v>133</v>
      </c>
      <c r="F39" s="18">
        <f t="shared" ref="F39:F46" si="6">G39+H39+I39</f>
        <v>8394.9</v>
      </c>
      <c r="G39" s="18">
        <f>5044.9-41</f>
        <v>5003.8999999999996</v>
      </c>
      <c r="H39" s="18">
        <v>3350</v>
      </c>
      <c r="I39" s="34">
        <f>21+20</f>
        <v>41</v>
      </c>
      <c r="J39" s="12"/>
      <c r="K39" s="12"/>
    </row>
    <row r="40" spans="1:11" s="13" customFormat="1" ht="59.25" customHeight="1" x14ac:dyDescent="0.25">
      <c r="A40" s="10"/>
      <c r="B40" s="17" t="s">
        <v>15</v>
      </c>
      <c r="C40" s="28" t="s">
        <v>115</v>
      </c>
      <c r="D40" s="17" t="s">
        <v>11</v>
      </c>
      <c r="E40" s="33" t="s">
        <v>95</v>
      </c>
      <c r="F40" s="18">
        <f t="shared" si="6"/>
        <v>9989.4</v>
      </c>
      <c r="G40" s="18">
        <f>8849.8-20-1500-710.4</f>
        <v>6619.4</v>
      </c>
      <c r="H40" s="18">
        <v>3350</v>
      </c>
      <c r="I40" s="34">
        <f>10+10</f>
        <v>20</v>
      </c>
      <c r="J40" s="12"/>
      <c r="K40" s="12"/>
    </row>
    <row r="41" spans="1:11" s="13" customFormat="1" ht="54.75" customHeight="1" x14ac:dyDescent="0.25">
      <c r="A41" s="10"/>
      <c r="B41" s="17" t="s">
        <v>15</v>
      </c>
      <c r="C41" s="28" t="s">
        <v>116</v>
      </c>
      <c r="D41" s="17" t="s">
        <v>12</v>
      </c>
      <c r="E41" s="22" t="s">
        <v>136</v>
      </c>
      <c r="F41" s="18">
        <f t="shared" si="6"/>
        <v>17543.400000000001</v>
      </c>
      <c r="G41" s="18">
        <f>20384.7+100+60-160-4780-1571.3</f>
        <v>14033.400000000001</v>
      </c>
      <c r="H41" s="18">
        <v>3350</v>
      </c>
      <c r="I41" s="34">
        <f>60+100</f>
        <v>160</v>
      </c>
      <c r="J41" s="12"/>
      <c r="K41" s="12"/>
    </row>
    <row r="42" spans="1:11" s="13" customFormat="1" ht="55.5" customHeight="1" x14ac:dyDescent="0.25">
      <c r="A42" s="10"/>
      <c r="B42" s="35" t="s">
        <v>15</v>
      </c>
      <c r="C42" s="28" t="s">
        <v>117</v>
      </c>
      <c r="D42" s="17" t="s">
        <v>12</v>
      </c>
      <c r="E42" s="22" t="s">
        <v>82</v>
      </c>
      <c r="F42" s="18">
        <f t="shared" si="6"/>
        <v>11547.7</v>
      </c>
      <c r="G42" s="18">
        <f>8695.7-315-690+192</f>
        <v>7882.7000000000007</v>
      </c>
      <c r="H42" s="18">
        <v>3350</v>
      </c>
      <c r="I42" s="34">
        <f>165+150</f>
        <v>315</v>
      </c>
      <c r="J42" s="12"/>
      <c r="K42" s="12"/>
    </row>
    <row r="43" spans="1:11" s="13" customFormat="1" ht="57.75" customHeight="1" x14ac:dyDescent="0.25">
      <c r="A43" s="10"/>
      <c r="B43" s="35" t="s">
        <v>15</v>
      </c>
      <c r="C43" s="28" t="s">
        <v>118</v>
      </c>
      <c r="D43" s="17" t="s">
        <v>12</v>
      </c>
      <c r="E43" s="22" t="s">
        <v>83</v>
      </c>
      <c r="F43" s="18">
        <f t="shared" si="6"/>
        <v>8248.7999999999993</v>
      </c>
      <c r="G43" s="18">
        <f>4898.8-5-15</f>
        <v>4878.8</v>
      </c>
      <c r="H43" s="18">
        <v>3350</v>
      </c>
      <c r="I43" s="18">
        <f>5+15</f>
        <v>20</v>
      </c>
      <c r="J43" s="12"/>
      <c r="K43" s="12"/>
    </row>
    <row r="44" spans="1:11" s="13" customFormat="1" ht="38.25" customHeight="1" x14ac:dyDescent="0.25">
      <c r="A44" s="10"/>
      <c r="B44" s="35" t="s">
        <v>15</v>
      </c>
      <c r="C44" s="86" t="s">
        <v>149</v>
      </c>
      <c r="D44" s="85" t="s">
        <v>12</v>
      </c>
      <c r="E44" s="87" t="s">
        <v>158</v>
      </c>
      <c r="F44" s="18">
        <f t="shared" si="6"/>
        <v>4800</v>
      </c>
      <c r="G44" s="18">
        <v>4800</v>
      </c>
      <c r="H44" s="18"/>
      <c r="I44" s="18"/>
      <c r="J44" s="12"/>
      <c r="K44" s="12"/>
    </row>
    <row r="45" spans="1:11" s="13" customFormat="1" ht="53.25" customHeight="1" x14ac:dyDescent="0.25">
      <c r="A45" s="10"/>
      <c r="B45" s="35" t="s">
        <v>15</v>
      </c>
      <c r="C45" s="28" t="s">
        <v>149</v>
      </c>
      <c r="D45" s="17" t="s">
        <v>11</v>
      </c>
      <c r="E45" s="22" t="s">
        <v>152</v>
      </c>
      <c r="F45" s="18">
        <f t="shared" si="6"/>
        <v>3236</v>
      </c>
      <c r="G45" s="18">
        <v>3236</v>
      </c>
      <c r="H45" s="18"/>
      <c r="I45" s="18"/>
      <c r="J45" s="12"/>
      <c r="K45" s="12"/>
    </row>
    <row r="46" spans="1:11" s="13" customFormat="1" ht="53.25" customHeight="1" x14ac:dyDescent="0.25">
      <c r="A46" s="10"/>
      <c r="B46" s="35" t="s">
        <v>15</v>
      </c>
      <c r="C46" s="28" t="s">
        <v>149</v>
      </c>
      <c r="D46" s="17" t="s">
        <v>11</v>
      </c>
      <c r="E46" s="22" t="s">
        <v>62</v>
      </c>
      <c r="F46" s="18">
        <f t="shared" si="6"/>
        <v>20</v>
      </c>
      <c r="G46" s="18">
        <v>20</v>
      </c>
      <c r="H46" s="18"/>
      <c r="I46" s="18"/>
      <c r="J46" s="12"/>
      <c r="K46" s="12"/>
    </row>
    <row r="47" spans="1:11" s="13" customFormat="1" ht="29.25" customHeight="1" x14ac:dyDescent="0.25">
      <c r="A47" s="10"/>
      <c r="B47" s="36" t="s">
        <v>53</v>
      </c>
      <c r="C47" s="37"/>
      <c r="D47" s="38"/>
      <c r="E47" s="39" t="s">
        <v>54</v>
      </c>
      <c r="F47" s="11">
        <f>G47+H47</f>
        <v>226527.2</v>
      </c>
      <c r="G47" s="11">
        <f>G50+G48</f>
        <v>226527.2</v>
      </c>
      <c r="H47" s="19"/>
      <c r="I47" s="10"/>
      <c r="J47" s="12"/>
      <c r="K47" s="12"/>
    </row>
    <row r="48" spans="1:11" s="13" customFormat="1" ht="29.25" customHeight="1" x14ac:dyDescent="0.25">
      <c r="A48" s="10"/>
      <c r="B48" s="20" t="s">
        <v>69</v>
      </c>
      <c r="C48" s="40"/>
      <c r="D48" s="41"/>
      <c r="E48" s="25" t="s">
        <v>70</v>
      </c>
      <c r="F48" s="11">
        <f t="shared" ref="F48" si="7">G48+H48</f>
        <v>207801.2</v>
      </c>
      <c r="G48" s="11">
        <f>G49</f>
        <v>207801.2</v>
      </c>
      <c r="H48" s="19"/>
      <c r="I48" s="10"/>
      <c r="J48" s="12"/>
      <c r="K48" s="12"/>
    </row>
    <row r="49" spans="1:252" s="13" customFormat="1" ht="57.75" customHeight="1" x14ac:dyDescent="0.25">
      <c r="A49" s="10"/>
      <c r="B49" s="42">
        <v>1102</v>
      </c>
      <c r="C49" s="28" t="s">
        <v>111</v>
      </c>
      <c r="D49" s="42">
        <v>400</v>
      </c>
      <c r="E49" s="43" t="s">
        <v>71</v>
      </c>
      <c r="F49" s="18">
        <f>G49+H49</f>
        <v>207801.2</v>
      </c>
      <c r="G49" s="18">
        <f>50000+157801.2</f>
        <v>207801.2</v>
      </c>
      <c r="H49" s="19"/>
      <c r="I49" s="10"/>
      <c r="J49" s="12"/>
      <c r="K49" s="12"/>
    </row>
    <row r="50" spans="1:252" s="13" customFormat="1" ht="38.25" customHeight="1" x14ac:dyDescent="0.25">
      <c r="A50" s="10"/>
      <c r="B50" s="20" t="s">
        <v>49</v>
      </c>
      <c r="C50" s="20"/>
      <c r="D50" s="20"/>
      <c r="E50" s="26" t="s">
        <v>50</v>
      </c>
      <c r="F50" s="11">
        <f>G50+H50</f>
        <v>18725.999999999996</v>
      </c>
      <c r="G50" s="11">
        <f>G51</f>
        <v>18725.999999999996</v>
      </c>
      <c r="H50" s="19"/>
      <c r="I50" s="10"/>
      <c r="J50" s="12"/>
      <c r="K50" s="12"/>
    </row>
    <row r="51" spans="1:252" s="13" customFormat="1" ht="54.75" customHeight="1" x14ac:dyDescent="0.25">
      <c r="A51" s="10"/>
      <c r="B51" s="17">
        <v>1105</v>
      </c>
      <c r="C51" s="17" t="s">
        <v>111</v>
      </c>
      <c r="D51" s="17">
        <v>400</v>
      </c>
      <c r="E51" s="44" t="s">
        <v>153</v>
      </c>
      <c r="F51" s="18">
        <f>G51+H51</f>
        <v>18725.999999999996</v>
      </c>
      <c r="G51" s="18">
        <f>37868-4976.3-14165.7</f>
        <v>18725.999999999996</v>
      </c>
      <c r="H51" s="19"/>
      <c r="I51" s="10"/>
      <c r="J51" s="12"/>
      <c r="K51" s="12"/>
    </row>
    <row r="52" spans="1:252" s="13" customFormat="1" ht="30" customHeight="1" x14ac:dyDescent="0.25">
      <c r="A52" s="10"/>
      <c r="B52" s="90" t="s">
        <v>45</v>
      </c>
      <c r="C52" s="90"/>
      <c r="D52" s="90"/>
      <c r="E52" s="90"/>
      <c r="F52" s="11">
        <f>G52+H52+I52</f>
        <v>1047575.1</v>
      </c>
      <c r="G52" s="11">
        <f>G53+G64+G74+G91+G98</f>
        <v>99658.999999999985</v>
      </c>
      <c r="H52" s="11">
        <f>H53+H64+H74+H91+H98</f>
        <v>825386.1</v>
      </c>
      <c r="I52" s="11">
        <f>I53+I64+I74+I91+I98</f>
        <v>122530</v>
      </c>
      <c r="J52" s="12"/>
      <c r="K52" s="12"/>
    </row>
    <row r="53" spans="1:252" ht="29.25" customHeight="1" x14ac:dyDescent="0.25">
      <c r="A53" s="17"/>
      <c r="B53" s="24" t="s">
        <v>7</v>
      </c>
      <c r="C53" s="24"/>
      <c r="D53" s="42"/>
      <c r="E53" s="25" t="s">
        <v>8</v>
      </c>
      <c r="F53" s="14">
        <f t="shared" si="1"/>
        <v>293188.59999999998</v>
      </c>
      <c r="G53" s="11">
        <f>G54+G56</f>
        <v>25441.3</v>
      </c>
      <c r="H53" s="11">
        <f>H54+H56</f>
        <v>267747.3</v>
      </c>
      <c r="I53" s="17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5"/>
      <c r="BL53" s="45"/>
      <c r="BM53" s="45"/>
      <c r="BN53" s="45"/>
      <c r="BO53" s="45"/>
      <c r="BP53" s="45"/>
      <c r="BQ53" s="45"/>
      <c r="BR53" s="45"/>
      <c r="BS53" s="45"/>
      <c r="BT53" s="45"/>
      <c r="BU53" s="45"/>
      <c r="BV53" s="45"/>
      <c r="BW53" s="45"/>
      <c r="BX53" s="45"/>
      <c r="BY53" s="45"/>
      <c r="BZ53" s="45"/>
      <c r="CA53" s="45"/>
      <c r="CB53" s="45"/>
      <c r="CC53" s="45"/>
      <c r="CD53" s="45"/>
      <c r="CE53" s="45"/>
      <c r="CF53" s="45"/>
      <c r="CG53" s="45"/>
      <c r="CH53" s="45"/>
      <c r="CI53" s="45"/>
      <c r="CJ53" s="45"/>
      <c r="CK53" s="45"/>
      <c r="CL53" s="45"/>
      <c r="CM53" s="45"/>
      <c r="CN53" s="45"/>
      <c r="CO53" s="45"/>
      <c r="CP53" s="45"/>
      <c r="CQ53" s="45"/>
      <c r="CR53" s="45"/>
      <c r="CS53" s="45"/>
      <c r="CT53" s="45"/>
      <c r="CU53" s="45"/>
      <c r="CV53" s="45"/>
      <c r="CW53" s="45"/>
      <c r="CX53" s="45"/>
      <c r="CY53" s="45"/>
      <c r="CZ53" s="45"/>
      <c r="DA53" s="45"/>
      <c r="DB53" s="45"/>
      <c r="DC53" s="45"/>
      <c r="DD53" s="45"/>
      <c r="DE53" s="45"/>
      <c r="DF53" s="45"/>
      <c r="DG53" s="45"/>
      <c r="DH53" s="45"/>
      <c r="DI53" s="45"/>
      <c r="DJ53" s="45"/>
      <c r="DK53" s="45"/>
      <c r="DL53" s="45"/>
      <c r="DM53" s="45"/>
      <c r="DN53" s="45"/>
      <c r="DO53" s="45"/>
      <c r="DP53" s="45"/>
      <c r="DQ53" s="45"/>
      <c r="DR53" s="45"/>
      <c r="DS53" s="45"/>
      <c r="DT53" s="45"/>
      <c r="DU53" s="45"/>
      <c r="DV53" s="45"/>
      <c r="DW53" s="45"/>
      <c r="DX53" s="45"/>
      <c r="DY53" s="45"/>
      <c r="DZ53" s="45"/>
      <c r="EA53" s="45"/>
      <c r="EB53" s="45"/>
      <c r="EC53" s="45"/>
      <c r="ED53" s="45"/>
      <c r="EE53" s="45"/>
      <c r="EF53" s="45"/>
      <c r="EG53" s="45"/>
      <c r="EH53" s="45"/>
      <c r="EI53" s="45"/>
      <c r="EJ53" s="45"/>
      <c r="EK53" s="45"/>
      <c r="EL53" s="45"/>
      <c r="EM53" s="45"/>
      <c r="EN53" s="45"/>
      <c r="EO53" s="45"/>
      <c r="EP53" s="45"/>
      <c r="EQ53" s="45"/>
      <c r="ER53" s="45"/>
      <c r="ES53" s="45"/>
      <c r="ET53" s="45"/>
      <c r="EU53" s="45"/>
      <c r="EV53" s="45"/>
      <c r="EW53" s="45"/>
      <c r="EX53" s="45"/>
      <c r="EY53" s="45"/>
      <c r="EZ53" s="45"/>
      <c r="FA53" s="45"/>
      <c r="FB53" s="45"/>
      <c r="FC53" s="45"/>
      <c r="FD53" s="45"/>
      <c r="FE53" s="45"/>
      <c r="FF53" s="45"/>
      <c r="FG53" s="45"/>
      <c r="FH53" s="45"/>
      <c r="FI53" s="45"/>
      <c r="FJ53" s="45"/>
      <c r="FK53" s="45"/>
      <c r="FL53" s="45"/>
      <c r="FM53" s="45"/>
      <c r="FN53" s="45"/>
      <c r="FO53" s="45"/>
      <c r="FP53" s="45"/>
      <c r="FQ53" s="45"/>
      <c r="FR53" s="45"/>
      <c r="FS53" s="45"/>
      <c r="FT53" s="45"/>
      <c r="FU53" s="45"/>
      <c r="FV53" s="45"/>
      <c r="FW53" s="45"/>
      <c r="FX53" s="45"/>
      <c r="FY53" s="45"/>
      <c r="FZ53" s="45"/>
      <c r="GA53" s="45"/>
      <c r="GB53" s="45"/>
      <c r="GC53" s="45"/>
      <c r="GD53" s="45"/>
      <c r="GE53" s="45"/>
      <c r="GF53" s="45"/>
      <c r="GG53" s="45"/>
      <c r="GH53" s="45"/>
      <c r="GI53" s="45"/>
      <c r="GJ53" s="45"/>
      <c r="GK53" s="45"/>
      <c r="GL53" s="45"/>
      <c r="GM53" s="45"/>
      <c r="GN53" s="45"/>
      <c r="GO53" s="45"/>
      <c r="GP53" s="45"/>
      <c r="GQ53" s="45"/>
      <c r="GR53" s="45"/>
      <c r="GS53" s="45"/>
      <c r="GT53" s="45"/>
      <c r="GU53" s="45"/>
      <c r="GV53" s="45"/>
      <c r="GW53" s="45"/>
      <c r="GX53" s="45"/>
      <c r="GY53" s="45"/>
      <c r="GZ53" s="45"/>
      <c r="HA53" s="45"/>
      <c r="HB53" s="45"/>
      <c r="HC53" s="45"/>
      <c r="HD53" s="45"/>
      <c r="HE53" s="45"/>
      <c r="HF53" s="45"/>
      <c r="HG53" s="45"/>
      <c r="HH53" s="45"/>
      <c r="HI53" s="45"/>
      <c r="HJ53" s="45"/>
      <c r="HK53" s="45"/>
      <c r="HL53" s="45"/>
      <c r="HM53" s="45"/>
      <c r="HN53" s="45"/>
      <c r="HO53" s="45"/>
      <c r="HP53" s="45"/>
      <c r="HQ53" s="45"/>
      <c r="HR53" s="45"/>
      <c r="HS53" s="45"/>
      <c r="HT53" s="45"/>
      <c r="HU53" s="45"/>
      <c r="HV53" s="45"/>
      <c r="HW53" s="45"/>
      <c r="HX53" s="45"/>
      <c r="HY53" s="45"/>
      <c r="HZ53" s="45"/>
      <c r="IA53" s="45"/>
      <c r="IB53" s="45"/>
      <c r="IC53" s="45"/>
      <c r="ID53" s="45"/>
      <c r="IE53" s="45"/>
      <c r="IF53" s="45"/>
      <c r="IG53" s="45"/>
      <c r="IH53" s="45"/>
      <c r="II53" s="45"/>
      <c r="IJ53" s="45"/>
      <c r="IK53" s="45"/>
      <c r="IL53" s="45"/>
      <c r="IM53" s="45"/>
      <c r="IN53" s="45"/>
      <c r="IO53" s="45"/>
      <c r="IP53" s="45"/>
      <c r="IQ53" s="45"/>
      <c r="IR53" s="45"/>
    </row>
    <row r="54" spans="1:252" ht="29.25" customHeight="1" x14ac:dyDescent="0.25">
      <c r="A54" s="17"/>
      <c r="B54" s="24" t="s">
        <v>73</v>
      </c>
      <c r="C54" s="24"/>
      <c r="D54" s="42"/>
      <c r="E54" s="25" t="s">
        <v>74</v>
      </c>
      <c r="F54" s="11">
        <f t="shared" si="1"/>
        <v>11024</v>
      </c>
      <c r="G54" s="11">
        <f>G55</f>
        <v>1070.3</v>
      </c>
      <c r="H54" s="11">
        <f>H55</f>
        <v>9953.7000000000007</v>
      </c>
      <c r="I54" s="17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  <c r="BI54" s="45"/>
      <c r="BJ54" s="45"/>
      <c r="BK54" s="45"/>
      <c r="BL54" s="45"/>
      <c r="BM54" s="45"/>
      <c r="BN54" s="45"/>
      <c r="BO54" s="45"/>
      <c r="BP54" s="45"/>
      <c r="BQ54" s="45"/>
      <c r="BR54" s="45"/>
      <c r="BS54" s="45"/>
      <c r="BT54" s="45"/>
      <c r="BU54" s="45"/>
      <c r="BV54" s="45"/>
      <c r="BW54" s="45"/>
      <c r="BX54" s="45"/>
      <c r="BY54" s="45"/>
      <c r="BZ54" s="45"/>
      <c r="CA54" s="45"/>
      <c r="CB54" s="45"/>
      <c r="CC54" s="45"/>
      <c r="CD54" s="45"/>
      <c r="CE54" s="45"/>
      <c r="CF54" s="45"/>
      <c r="CG54" s="45"/>
      <c r="CH54" s="45"/>
      <c r="CI54" s="45"/>
      <c r="CJ54" s="45"/>
      <c r="CK54" s="45"/>
      <c r="CL54" s="45"/>
      <c r="CM54" s="45"/>
      <c r="CN54" s="45"/>
      <c r="CO54" s="45"/>
      <c r="CP54" s="45"/>
      <c r="CQ54" s="45"/>
      <c r="CR54" s="45"/>
      <c r="CS54" s="45"/>
      <c r="CT54" s="45"/>
      <c r="CU54" s="45"/>
      <c r="CV54" s="45"/>
      <c r="CW54" s="45"/>
      <c r="CX54" s="45"/>
      <c r="CY54" s="45"/>
      <c r="CZ54" s="45"/>
      <c r="DA54" s="45"/>
      <c r="DB54" s="45"/>
      <c r="DC54" s="45"/>
      <c r="DD54" s="45"/>
      <c r="DE54" s="45"/>
      <c r="DF54" s="45"/>
      <c r="DG54" s="45"/>
      <c r="DH54" s="45"/>
      <c r="DI54" s="45"/>
      <c r="DJ54" s="45"/>
      <c r="DK54" s="45"/>
      <c r="DL54" s="45"/>
      <c r="DM54" s="45"/>
      <c r="DN54" s="45"/>
      <c r="DO54" s="45"/>
      <c r="DP54" s="45"/>
      <c r="DQ54" s="45"/>
      <c r="DR54" s="45"/>
      <c r="DS54" s="45"/>
      <c r="DT54" s="45"/>
      <c r="DU54" s="45"/>
      <c r="DV54" s="45"/>
      <c r="DW54" s="45"/>
      <c r="DX54" s="45"/>
      <c r="DY54" s="45"/>
      <c r="DZ54" s="45"/>
      <c r="EA54" s="45"/>
      <c r="EB54" s="45"/>
      <c r="EC54" s="45"/>
      <c r="ED54" s="45"/>
      <c r="EE54" s="45"/>
      <c r="EF54" s="45"/>
      <c r="EG54" s="45"/>
      <c r="EH54" s="45"/>
      <c r="EI54" s="45"/>
      <c r="EJ54" s="45"/>
      <c r="EK54" s="45"/>
      <c r="EL54" s="45"/>
      <c r="EM54" s="45"/>
      <c r="EN54" s="45"/>
      <c r="EO54" s="45"/>
      <c r="EP54" s="45"/>
      <c r="EQ54" s="45"/>
      <c r="ER54" s="45"/>
      <c r="ES54" s="45"/>
      <c r="ET54" s="45"/>
      <c r="EU54" s="45"/>
      <c r="EV54" s="45"/>
      <c r="EW54" s="45"/>
      <c r="EX54" s="45"/>
      <c r="EY54" s="45"/>
      <c r="EZ54" s="45"/>
      <c r="FA54" s="45"/>
      <c r="FB54" s="45"/>
      <c r="FC54" s="45"/>
      <c r="FD54" s="45"/>
      <c r="FE54" s="45"/>
      <c r="FF54" s="45"/>
      <c r="FG54" s="45"/>
      <c r="FH54" s="45"/>
      <c r="FI54" s="45"/>
      <c r="FJ54" s="45"/>
      <c r="FK54" s="45"/>
      <c r="FL54" s="45"/>
      <c r="FM54" s="45"/>
      <c r="FN54" s="45"/>
      <c r="FO54" s="45"/>
      <c r="FP54" s="45"/>
      <c r="FQ54" s="45"/>
      <c r="FR54" s="45"/>
      <c r="FS54" s="45"/>
      <c r="FT54" s="45"/>
      <c r="FU54" s="45"/>
      <c r="FV54" s="45"/>
      <c r="FW54" s="45"/>
      <c r="FX54" s="45"/>
      <c r="FY54" s="45"/>
      <c r="FZ54" s="45"/>
      <c r="GA54" s="45"/>
      <c r="GB54" s="45"/>
      <c r="GC54" s="45"/>
      <c r="GD54" s="45"/>
      <c r="GE54" s="45"/>
      <c r="GF54" s="45"/>
      <c r="GG54" s="45"/>
      <c r="GH54" s="45"/>
      <c r="GI54" s="45"/>
      <c r="GJ54" s="45"/>
      <c r="GK54" s="45"/>
      <c r="GL54" s="45"/>
      <c r="GM54" s="45"/>
      <c r="GN54" s="45"/>
      <c r="GO54" s="45"/>
      <c r="GP54" s="45"/>
      <c r="GQ54" s="45"/>
      <c r="GR54" s="45"/>
      <c r="GS54" s="45"/>
      <c r="GT54" s="45"/>
      <c r="GU54" s="45"/>
      <c r="GV54" s="45"/>
      <c r="GW54" s="45"/>
      <c r="GX54" s="45"/>
      <c r="GY54" s="45"/>
      <c r="GZ54" s="45"/>
      <c r="HA54" s="45"/>
      <c r="HB54" s="45"/>
      <c r="HC54" s="45"/>
      <c r="HD54" s="45"/>
      <c r="HE54" s="45"/>
      <c r="HF54" s="45"/>
      <c r="HG54" s="45"/>
      <c r="HH54" s="45"/>
      <c r="HI54" s="45"/>
      <c r="HJ54" s="45"/>
      <c r="HK54" s="45"/>
      <c r="HL54" s="45"/>
      <c r="HM54" s="45"/>
      <c r="HN54" s="45"/>
      <c r="HO54" s="45"/>
      <c r="HP54" s="45"/>
      <c r="HQ54" s="45"/>
      <c r="HR54" s="45"/>
      <c r="HS54" s="45"/>
      <c r="HT54" s="45"/>
      <c r="HU54" s="45"/>
      <c r="HV54" s="45"/>
      <c r="HW54" s="45"/>
      <c r="HX54" s="45"/>
      <c r="HY54" s="45"/>
      <c r="HZ54" s="45"/>
      <c r="IA54" s="45"/>
      <c r="IB54" s="45"/>
      <c r="IC54" s="45"/>
      <c r="ID54" s="45"/>
      <c r="IE54" s="45"/>
      <c r="IF54" s="45"/>
      <c r="IG54" s="45"/>
      <c r="IH54" s="45"/>
      <c r="II54" s="45"/>
      <c r="IJ54" s="45"/>
      <c r="IK54" s="45"/>
      <c r="IL54" s="45"/>
      <c r="IM54" s="45"/>
      <c r="IN54" s="45"/>
      <c r="IO54" s="45"/>
      <c r="IP54" s="45"/>
      <c r="IQ54" s="45"/>
      <c r="IR54" s="45"/>
    </row>
    <row r="55" spans="1:252" s="2" customFormat="1" ht="69.75" customHeight="1" x14ac:dyDescent="0.25">
      <c r="A55" s="17"/>
      <c r="B55" s="28" t="s">
        <v>73</v>
      </c>
      <c r="C55" s="28" t="s">
        <v>119</v>
      </c>
      <c r="D55" s="42">
        <v>200</v>
      </c>
      <c r="E55" s="46" t="s">
        <v>75</v>
      </c>
      <c r="F55" s="19">
        <f>G55+H55</f>
        <v>11024</v>
      </c>
      <c r="G55" s="18">
        <v>1070.3</v>
      </c>
      <c r="H55" s="18">
        <v>9953.7000000000007</v>
      </c>
      <c r="I55" s="17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  <c r="BI55" s="45"/>
      <c r="BJ55" s="45"/>
      <c r="BK55" s="45"/>
      <c r="BL55" s="45"/>
      <c r="BM55" s="45"/>
      <c r="BN55" s="45"/>
      <c r="BO55" s="45"/>
      <c r="BP55" s="45"/>
      <c r="BQ55" s="45"/>
      <c r="BR55" s="45"/>
      <c r="BS55" s="45"/>
      <c r="BT55" s="45"/>
      <c r="BU55" s="45"/>
      <c r="BV55" s="45"/>
      <c r="BW55" s="45"/>
      <c r="BX55" s="45"/>
      <c r="BY55" s="45"/>
      <c r="BZ55" s="45"/>
      <c r="CA55" s="45"/>
      <c r="CB55" s="45"/>
      <c r="CC55" s="45"/>
      <c r="CD55" s="45"/>
      <c r="CE55" s="45"/>
      <c r="CF55" s="45"/>
      <c r="CG55" s="45"/>
      <c r="CH55" s="45"/>
      <c r="CI55" s="45"/>
      <c r="CJ55" s="45"/>
      <c r="CK55" s="45"/>
      <c r="CL55" s="45"/>
      <c r="CM55" s="45"/>
      <c r="CN55" s="45"/>
      <c r="CO55" s="45"/>
      <c r="CP55" s="45"/>
      <c r="CQ55" s="45"/>
      <c r="CR55" s="45"/>
      <c r="CS55" s="45"/>
      <c r="CT55" s="45"/>
      <c r="CU55" s="45"/>
      <c r="CV55" s="45"/>
      <c r="CW55" s="45"/>
      <c r="CX55" s="45"/>
      <c r="CY55" s="45"/>
      <c r="CZ55" s="45"/>
      <c r="DA55" s="45"/>
      <c r="DB55" s="45"/>
      <c r="DC55" s="45"/>
      <c r="DD55" s="45"/>
      <c r="DE55" s="45"/>
      <c r="DF55" s="45"/>
      <c r="DG55" s="45"/>
      <c r="DH55" s="45"/>
      <c r="DI55" s="45"/>
      <c r="DJ55" s="45"/>
      <c r="DK55" s="45"/>
      <c r="DL55" s="45"/>
      <c r="DM55" s="45"/>
      <c r="DN55" s="45"/>
      <c r="DO55" s="45"/>
      <c r="DP55" s="45"/>
      <c r="DQ55" s="45"/>
      <c r="DR55" s="45"/>
      <c r="DS55" s="45"/>
      <c r="DT55" s="45"/>
      <c r="DU55" s="45"/>
      <c r="DV55" s="45"/>
      <c r="DW55" s="45"/>
      <c r="DX55" s="45"/>
      <c r="DY55" s="45"/>
      <c r="DZ55" s="45"/>
      <c r="EA55" s="45"/>
      <c r="EB55" s="45"/>
      <c r="EC55" s="45"/>
      <c r="ED55" s="45"/>
      <c r="EE55" s="45"/>
      <c r="EF55" s="45"/>
      <c r="EG55" s="45"/>
      <c r="EH55" s="45"/>
      <c r="EI55" s="45"/>
      <c r="EJ55" s="45"/>
      <c r="EK55" s="45"/>
      <c r="EL55" s="45"/>
      <c r="EM55" s="45"/>
      <c r="EN55" s="45"/>
      <c r="EO55" s="45"/>
      <c r="EP55" s="45"/>
      <c r="EQ55" s="45"/>
      <c r="ER55" s="45"/>
      <c r="ES55" s="45"/>
      <c r="ET55" s="45"/>
      <c r="EU55" s="45"/>
      <c r="EV55" s="45"/>
      <c r="EW55" s="45"/>
      <c r="EX55" s="45"/>
      <c r="EY55" s="45"/>
      <c r="EZ55" s="45"/>
      <c r="FA55" s="45"/>
      <c r="FB55" s="45"/>
      <c r="FC55" s="45"/>
      <c r="FD55" s="45"/>
      <c r="FE55" s="45"/>
      <c r="FF55" s="45"/>
      <c r="FG55" s="45"/>
      <c r="FH55" s="45"/>
      <c r="FI55" s="45"/>
      <c r="FJ55" s="45"/>
      <c r="FK55" s="45"/>
      <c r="FL55" s="45"/>
      <c r="FM55" s="45"/>
      <c r="FN55" s="45"/>
      <c r="FO55" s="45"/>
      <c r="FP55" s="45"/>
      <c r="FQ55" s="45"/>
      <c r="FR55" s="45"/>
      <c r="FS55" s="45"/>
      <c r="FT55" s="45"/>
      <c r="FU55" s="45"/>
      <c r="FV55" s="45"/>
      <c r="FW55" s="45"/>
      <c r="FX55" s="45"/>
      <c r="FY55" s="45"/>
      <c r="FZ55" s="45"/>
      <c r="GA55" s="45"/>
      <c r="GB55" s="45"/>
      <c r="GC55" s="45"/>
      <c r="GD55" s="45"/>
      <c r="GE55" s="45"/>
      <c r="GF55" s="45"/>
      <c r="GG55" s="45"/>
      <c r="GH55" s="45"/>
      <c r="GI55" s="45"/>
      <c r="GJ55" s="45"/>
      <c r="GK55" s="45"/>
      <c r="GL55" s="45"/>
      <c r="GM55" s="45"/>
      <c r="GN55" s="45"/>
      <c r="GO55" s="45"/>
      <c r="GP55" s="45"/>
      <c r="GQ55" s="45"/>
      <c r="GR55" s="45"/>
      <c r="GS55" s="45"/>
      <c r="GT55" s="45"/>
      <c r="GU55" s="45"/>
      <c r="GV55" s="45"/>
      <c r="GW55" s="45"/>
      <c r="GX55" s="45"/>
      <c r="GY55" s="45"/>
      <c r="GZ55" s="45"/>
      <c r="HA55" s="45"/>
      <c r="HB55" s="45"/>
      <c r="HC55" s="45"/>
      <c r="HD55" s="45"/>
      <c r="HE55" s="45"/>
      <c r="HF55" s="45"/>
      <c r="HG55" s="45"/>
      <c r="HH55" s="45"/>
      <c r="HI55" s="45"/>
      <c r="HJ55" s="45"/>
      <c r="HK55" s="45"/>
      <c r="HL55" s="45"/>
      <c r="HM55" s="45"/>
      <c r="HN55" s="45"/>
      <c r="HO55" s="45"/>
      <c r="HP55" s="45"/>
      <c r="HQ55" s="45"/>
      <c r="HR55" s="45"/>
      <c r="HS55" s="45"/>
      <c r="HT55" s="45"/>
      <c r="HU55" s="45"/>
      <c r="HV55" s="45"/>
      <c r="HW55" s="45"/>
      <c r="HX55" s="45"/>
      <c r="HY55" s="45"/>
      <c r="HZ55" s="45"/>
      <c r="IA55" s="45"/>
      <c r="IB55" s="45"/>
      <c r="IC55" s="45"/>
      <c r="ID55" s="45"/>
      <c r="IE55" s="45"/>
      <c r="IF55" s="45"/>
      <c r="IG55" s="45"/>
      <c r="IH55" s="45"/>
      <c r="II55" s="45"/>
      <c r="IJ55" s="45"/>
      <c r="IK55" s="45"/>
      <c r="IL55" s="45"/>
      <c r="IM55" s="45"/>
      <c r="IN55" s="45"/>
      <c r="IO55" s="45"/>
      <c r="IP55" s="45"/>
      <c r="IQ55" s="45"/>
      <c r="IR55" s="45"/>
    </row>
    <row r="56" spans="1:252" s="6" customFormat="1" ht="30.75" customHeight="1" x14ac:dyDescent="0.25">
      <c r="A56" s="47"/>
      <c r="B56" s="20" t="s">
        <v>9</v>
      </c>
      <c r="C56" s="48"/>
      <c r="D56" s="48"/>
      <c r="E56" s="15" t="s">
        <v>10</v>
      </c>
      <c r="F56" s="14">
        <f t="shared" si="1"/>
        <v>282164.59999999998</v>
      </c>
      <c r="G56" s="14">
        <f>SUM(G57:G63)</f>
        <v>24371</v>
      </c>
      <c r="H56" s="14">
        <f>SUM(H57:H63)</f>
        <v>257793.6</v>
      </c>
      <c r="I56" s="49"/>
      <c r="J56" s="50"/>
      <c r="K56" s="50"/>
    </row>
    <row r="57" spans="1:252" ht="47.25" customHeight="1" x14ac:dyDescent="0.25">
      <c r="A57" s="47"/>
      <c r="B57" s="17" t="s">
        <v>9</v>
      </c>
      <c r="C57" s="28" t="s">
        <v>106</v>
      </c>
      <c r="D57" s="17" t="s">
        <v>12</v>
      </c>
      <c r="E57" s="51" t="s">
        <v>33</v>
      </c>
      <c r="F57" s="18">
        <f t="shared" si="1"/>
        <v>75865.899999999994</v>
      </c>
      <c r="G57" s="18"/>
      <c r="H57" s="19">
        <v>75865.899999999994</v>
      </c>
      <c r="I57" s="52"/>
      <c r="J57" s="53"/>
      <c r="K57" s="53"/>
    </row>
    <row r="58" spans="1:252" ht="38.25" customHeight="1" x14ac:dyDescent="0.25">
      <c r="A58" s="47"/>
      <c r="B58" s="88" t="s">
        <v>9</v>
      </c>
      <c r="C58" s="28" t="s">
        <v>105</v>
      </c>
      <c r="D58" s="88" t="s">
        <v>12</v>
      </c>
      <c r="E58" s="89" t="s">
        <v>154</v>
      </c>
      <c r="F58" s="18">
        <f t="shared" ref="F58:F59" si="8">G58+H58</f>
        <v>20550.099999999999</v>
      </c>
      <c r="G58" s="18"/>
      <c r="H58" s="19">
        <v>20550.099999999999</v>
      </c>
      <c r="I58" s="52"/>
      <c r="J58" s="53"/>
      <c r="K58" s="53"/>
    </row>
    <row r="59" spans="1:252" ht="38.25" customHeight="1" x14ac:dyDescent="0.25">
      <c r="A59" s="47"/>
      <c r="B59" s="88"/>
      <c r="C59" s="28" t="s">
        <v>107</v>
      </c>
      <c r="D59" s="88"/>
      <c r="E59" s="89"/>
      <c r="F59" s="18">
        <f t="shared" si="8"/>
        <v>1546.8</v>
      </c>
      <c r="G59" s="18">
        <v>1546.8</v>
      </c>
      <c r="H59" s="19"/>
      <c r="I59" s="52"/>
      <c r="J59" s="53"/>
      <c r="K59" s="53"/>
    </row>
    <row r="60" spans="1:252" ht="28.5" customHeight="1" x14ac:dyDescent="0.25">
      <c r="A60" s="47"/>
      <c r="B60" s="88" t="s">
        <v>9</v>
      </c>
      <c r="C60" s="28" t="s">
        <v>98</v>
      </c>
      <c r="D60" s="88" t="s">
        <v>12</v>
      </c>
      <c r="E60" s="89" t="s">
        <v>155</v>
      </c>
      <c r="F60" s="18">
        <f>G60+H60</f>
        <v>3577.5</v>
      </c>
      <c r="G60" s="18">
        <f>9018.9-856.4-4585</f>
        <v>3577.5</v>
      </c>
      <c r="H60" s="19"/>
      <c r="I60" s="52"/>
      <c r="J60" s="53"/>
      <c r="K60" s="53"/>
    </row>
    <row r="61" spans="1:252" ht="28.5" customHeight="1" x14ac:dyDescent="0.25">
      <c r="A61" s="47"/>
      <c r="B61" s="88"/>
      <c r="C61" s="28" t="s">
        <v>105</v>
      </c>
      <c r="D61" s="88"/>
      <c r="E61" s="89"/>
      <c r="F61" s="18">
        <f>G61+H61</f>
        <v>161377.60000000001</v>
      </c>
      <c r="G61" s="54"/>
      <c r="H61" s="19">
        <f>150000+11377.6</f>
        <v>161377.60000000001</v>
      </c>
      <c r="I61" s="52"/>
      <c r="J61" s="53"/>
      <c r="K61" s="53"/>
    </row>
    <row r="62" spans="1:252" ht="28.5" customHeight="1" x14ac:dyDescent="0.25">
      <c r="A62" s="47"/>
      <c r="B62" s="88"/>
      <c r="C62" s="28" t="s">
        <v>107</v>
      </c>
      <c r="D62" s="88"/>
      <c r="E62" s="89"/>
      <c r="F62" s="18">
        <f>G62+H62</f>
        <v>12146.7</v>
      </c>
      <c r="G62" s="18">
        <f>25509.2-5200-9018.9+856.4</f>
        <v>12146.7</v>
      </c>
      <c r="H62" s="19"/>
      <c r="I62" s="52"/>
      <c r="J62" s="53"/>
      <c r="K62" s="53"/>
    </row>
    <row r="63" spans="1:252" ht="41.25" customHeight="1" x14ac:dyDescent="0.25">
      <c r="A63" s="47"/>
      <c r="B63" s="17" t="s">
        <v>9</v>
      </c>
      <c r="C63" s="28" t="s">
        <v>98</v>
      </c>
      <c r="D63" s="17" t="s">
        <v>12</v>
      </c>
      <c r="E63" s="55" t="s">
        <v>145</v>
      </c>
      <c r="F63" s="18">
        <f t="shared" si="1"/>
        <v>7100</v>
      </c>
      <c r="G63" s="18">
        <f>15000+300-10000+1800</f>
        <v>7100</v>
      </c>
      <c r="H63" s="19"/>
      <c r="I63" s="52"/>
      <c r="J63" s="53"/>
      <c r="K63" s="53"/>
    </row>
    <row r="64" spans="1:252" ht="29.25" customHeight="1" x14ac:dyDescent="0.25">
      <c r="A64" s="52"/>
      <c r="B64" s="24" t="s">
        <v>13</v>
      </c>
      <c r="C64" s="17"/>
      <c r="D64" s="17"/>
      <c r="E64" s="26" t="s">
        <v>14</v>
      </c>
      <c r="F64" s="11">
        <f>G64+H64+I64</f>
        <v>79747.299999999988</v>
      </c>
      <c r="G64" s="11">
        <f>G67+G65</f>
        <v>27212.6</v>
      </c>
      <c r="H64" s="11">
        <f>H67+H65</f>
        <v>46593.7</v>
      </c>
      <c r="I64" s="11">
        <f>I67</f>
        <v>5941</v>
      </c>
      <c r="J64" s="53"/>
      <c r="K64" s="53"/>
    </row>
    <row r="65" spans="1:13" ht="29.25" customHeight="1" x14ac:dyDescent="0.25">
      <c r="A65" s="52"/>
      <c r="B65" s="24" t="s">
        <v>55</v>
      </c>
      <c r="C65" s="25"/>
      <c r="D65" s="25"/>
      <c r="E65" s="26" t="s">
        <v>56</v>
      </c>
      <c r="F65" s="11">
        <f>G65+H65+I65</f>
        <v>270</v>
      </c>
      <c r="G65" s="11">
        <f>G66</f>
        <v>270</v>
      </c>
      <c r="H65" s="11"/>
      <c r="I65" s="11"/>
      <c r="J65" s="53"/>
      <c r="K65" s="53"/>
    </row>
    <row r="66" spans="1:13" ht="29.25" customHeight="1" x14ac:dyDescent="0.25">
      <c r="A66" s="52"/>
      <c r="B66" s="28" t="s">
        <v>55</v>
      </c>
      <c r="C66" s="28" t="s">
        <v>141</v>
      </c>
      <c r="D66" s="28" t="s">
        <v>12</v>
      </c>
      <c r="E66" s="22" t="s">
        <v>89</v>
      </c>
      <c r="F66" s="18">
        <f>G66+H66+I66</f>
        <v>270</v>
      </c>
      <c r="G66" s="18">
        <f>120+150</f>
        <v>270</v>
      </c>
      <c r="H66" s="18"/>
      <c r="I66" s="18"/>
      <c r="J66" s="53"/>
      <c r="K66" s="53"/>
    </row>
    <row r="67" spans="1:13" ht="31.5" customHeight="1" x14ac:dyDescent="0.25">
      <c r="A67" s="52"/>
      <c r="B67" s="24" t="s">
        <v>15</v>
      </c>
      <c r="C67" s="24"/>
      <c r="D67" s="24"/>
      <c r="E67" s="26" t="s">
        <v>16</v>
      </c>
      <c r="F67" s="11">
        <f>G67+H67+I67</f>
        <v>79477.299999999988</v>
      </c>
      <c r="G67" s="11">
        <f>SUM(G68:G73)</f>
        <v>26942.6</v>
      </c>
      <c r="H67" s="11">
        <f>SUM(H68:H73)</f>
        <v>46593.7</v>
      </c>
      <c r="I67" s="11">
        <f>SUM(I68:I73)</f>
        <v>5941</v>
      </c>
      <c r="J67" s="53"/>
      <c r="K67" s="53"/>
    </row>
    <row r="68" spans="1:13" ht="56.25" customHeight="1" x14ac:dyDescent="0.25">
      <c r="A68" s="52"/>
      <c r="B68" s="17" t="s">
        <v>15</v>
      </c>
      <c r="C68" s="28" t="s">
        <v>128</v>
      </c>
      <c r="D68" s="17" t="s">
        <v>12</v>
      </c>
      <c r="E68" s="22" t="s">
        <v>32</v>
      </c>
      <c r="F68" s="18">
        <f t="shared" si="1"/>
        <v>47314</v>
      </c>
      <c r="G68" s="56">
        <f>15600-8179.7</f>
        <v>7420.3</v>
      </c>
      <c r="H68" s="56">
        <f>37500+2393.7</f>
        <v>39893.699999999997</v>
      </c>
      <c r="I68" s="52"/>
      <c r="J68" s="53"/>
      <c r="K68" s="53"/>
    </row>
    <row r="69" spans="1:13" ht="48.75" customHeight="1" x14ac:dyDescent="0.25">
      <c r="A69" s="52"/>
      <c r="B69" s="35" t="s">
        <v>15</v>
      </c>
      <c r="C69" s="28" t="s">
        <v>120</v>
      </c>
      <c r="D69" s="17" t="s">
        <v>12</v>
      </c>
      <c r="E69" s="22" t="s">
        <v>134</v>
      </c>
      <c r="F69" s="18">
        <f>G69+H69+I69</f>
        <v>7093.7</v>
      </c>
      <c r="G69" s="56">
        <f>3743.7-24</f>
        <v>3719.7</v>
      </c>
      <c r="H69" s="56">
        <v>3350</v>
      </c>
      <c r="I69" s="34">
        <f>20+4</f>
        <v>24</v>
      </c>
      <c r="J69" s="53"/>
      <c r="K69" s="53"/>
    </row>
    <row r="70" spans="1:13" ht="54" customHeight="1" x14ac:dyDescent="0.25">
      <c r="A70" s="52"/>
      <c r="B70" s="35" t="s">
        <v>15</v>
      </c>
      <c r="C70" s="28" t="s">
        <v>121</v>
      </c>
      <c r="D70" s="17" t="s">
        <v>12</v>
      </c>
      <c r="E70" s="22" t="s">
        <v>135</v>
      </c>
      <c r="F70" s="18">
        <f>G70+H70+I70</f>
        <v>8059.5999999999995</v>
      </c>
      <c r="G70" s="56">
        <f>6215.9+2-15-2-1330-178.3</f>
        <v>4692.5999999999995</v>
      </c>
      <c r="H70" s="56">
        <v>3350</v>
      </c>
      <c r="I70" s="34">
        <f>15+2</f>
        <v>17</v>
      </c>
      <c r="J70" s="53"/>
      <c r="K70" s="53"/>
    </row>
    <row r="71" spans="1:13" ht="48" customHeight="1" x14ac:dyDescent="0.25">
      <c r="A71" s="52"/>
      <c r="B71" s="17" t="s">
        <v>15</v>
      </c>
      <c r="C71" s="28" t="s">
        <v>108</v>
      </c>
      <c r="D71" s="17" t="s">
        <v>12</v>
      </c>
      <c r="E71" s="22" t="s">
        <v>146</v>
      </c>
      <c r="F71" s="18">
        <f t="shared" ref="F71" si="9">G71+H71</f>
        <v>7730</v>
      </c>
      <c r="G71" s="56">
        <f>2000+5730</f>
        <v>7730</v>
      </c>
      <c r="H71" s="56"/>
      <c r="I71" s="52"/>
      <c r="J71" s="53"/>
      <c r="K71" s="53"/>
    </row>
    <row r="72" spans="1:13" ht="92.25" customHeight="1" x14ac:dyDescent="0.25">
      <c r="A72" s="52"/>
      <c r="B72" s="17" t="s">
        <v>15</v>
      </c>
      <c r="C72" s="28" t="s">
        <v>108</v>
      </c>
      <c r="D72" s="17" t="s">
        <v>12</v>
      </c>
      <c r="E72" s="22" t="s">
        <v>148</v>
      </c>
      <c r="F72" s="18">
        <f>G72+H72+I72</f>
        <v>5900</v>
      </c>
      <c r="G72" s="56"/>
      <c r="H72" s="56"/>
      <c r="I72" s="18">
        <v>5900</v>
      </c>
      <c r="J72" s="53"/>
      <c r="K72" s="53"/>
    </row>
    <row r="73" spans="1:13" ht="47.25" customHeight="1" x14ac:dyDescent="0.25">
      <c r="A73" s="52"/>
      <c r="B73" s="17" t="s">
        <v>15</v>
      </c>
      <c r="C73" s="28" t="s">
        <v>108</v>
      </c>
      <c r="D73" s="17" t="s">
        <v>12</v>
      </c>
      <c r="E73" s="22" t="s">
        <v>62</v>
      </c>
      <c r="F73" s="18">
        <f>G73+H73</f>
        <v>3380</v>
      </c>
      <c r="G73" s="56">
        <f>300+600-20+2500</f>
        <v>3380</v>
      </c>
      <c r="H73" s="56"/>
      <c r="I73" s="52"/>
      <c r="J73" s="53"/>
      <c r="K73" s="53"/>
    </row>
    <row r="74" spans="1:13" s="60" customFormat="1" ht="30" customHeight="1" x14ac:dyDescent="0.25">
      <c r="A74" s="57"/>
      <c r="B74" s="20" t="s">
        <v>17</v>
      </c>
      <c r="C74" s="24"/>
      <c r="D74" s="20"/>
      <c r="E74" s="26" t="s">
        <v>18</v>
      </c>
      <c r="F74" s="11">
        <f>G74+H74+I74</f>
        <v>375861.8</v>
      </c>
      <c r="G74" s="58">
        <f>G75+G82+G89</f>
        <v>22891.4</v>
      </c>
      <c r="H74" s="58">
        <f>H75+H82</f>
        <v>236381.4</v>
      </c>
      <c r="I74" s="58">
        <f>I75+I82</f>
        <v>116589</v>
      </c>
      <c r="J74" s="59"/>
      <c r="K74" s="59"/>
      <c r="M74" s="61"/>
    </row>
    <row r="75" spans="1:13" ht="30" customHeight="1" x14ac:dyDescent="0.25">
      <c r="A75" s="52"/>
      <c r="B75" s="24" t="s">
        <v>19</v>
      </c>
      <c r="C75" s="24"/>
      <c r="D75" s="24"/>
      <c r="E75" s="62" t="s">
        <v>20</v>
      </c>
      <c r="F75" s="11">
        <f>G75+H75+I75</f>
        <v>24722.300000000003</v>
      </c>
      <c r="G75" s="11">
        <f>SUM(G76:G81)</f>
        <v>1271.2</v>
      </c>
      <c r="H75" s="11">
        <f>H80+H81+H78+H76</f>
        <v>7466.4</v>
      </c>
      <c r="I75" s="11">
        <f>I80+I81+I78+I76</f>
        <v>15984.7</v>
      </c>
      <c r="J75" s="53"/>
      <c r="K75" s="53"/>
    </row>
    <row r="76" spans="1:13" ht="46.5" customHeight="1" x14ac:dyDescent="0.25">
      <c r="A76" s="52"/>
      <c r="B76" s="91" t="s">
        <v>19</v>
      </c>
      <c r="C76" s="28" t="s">
        <v>129</v>
      </c>
      <c r="D76" s="91" t="s">
        <v>12</v>
      </c>
      <c r="E76" s="93" t="s">
        <v>125</v>
      </c>
      <c r="F76" s="18">
        <f>G76+H76</f>
        <v>3733.2</v>
      </c>
      <c r="G76" s="18"/>
      <c r="H76" s="18">
        <v>3733.2</v>
      </c>
      <c r="I76" s="52"/>
      <c r="J76" s="53"/>
      <c r="K76" s="53"/>
    </row>
    <row r="77" spans="1:13" ht="45.75" customHeight="1" x14ac:dyDescent="0.25">
      <c r="A77" s="52"/>
      <c r="B77" s="91"/>
      <c r="C77" s="28" t="s">
        <v>130</v>
      </c>
      <c r="D77" s="91"/>
      <c r="E77" s="93"/>
      <c r="F77" s="18">
        <f>G77+H77</f>
        <v>281.10000000000002</v>
      </c>
      <c r="G77" s="18">
        <v>281.10000000000002</v>
      </c>
      <c r="H77" s="18"/>
      <c r="I77" s="52"/>
      <c r="J77" s="53"/>
      <c r="K77" s="53"/>
    </row>
    <row r="78" spans="1:13" ht="43.5" customHeight="1" x14ac:dyDescent="0.25">
      <c r="A78" s="52"/>
      <c r="B78" s="91" t="s">
        <v>19</v>
      </c>
      <c r="C78" s="28" t="s">
        <v>129</v>
      </c>
      <c r="D78" s="91" t="s">
        <v>12</v>
      </c>
      <c r="E78" s="93" t="s">
        <v>156</v>
      </c>
      <c r="F78" s="18">
        <f>G78+H78</f>
        <v>3733.2</v>
      </c>
      <c r="G78" s="18"/>
      <c r="H78" s="18">
        <v>3733.2</v>
      </c>
      <c r="I78" s="52"/>
      <c r="J78" s="53"/>
      <c r="K78" s="53"/>
    </row>
    <row r="79" spans="1:13" ht="46.5" customHeight="1" x14ac:dyDescent="0.25">
      <c r="A79" s="52"/>
      <c r="B79" s="91"/>
      <c r="C79" s="28" t="s">
        <v>130</v>
      </c>
      <c r="D79" s="91"/>
      <c r="E79" s="93"/>
      <c r="F79" s="18">
        <f>G79+H79</f>
        <v>281.10000000000002</v>
      </c>
      <c r="G79" s="18">
        <v>281.10000000000002</v>
      </c>
      <c r="H79" s="18"/>
      <c r="I79" s="52"/>
      <c r="J79" s="53"/>
      <c r="K79" s="53"/>
    </row>
    <row r="80" spans="1:13" ht="54.75" customHeight="1" x14ac:dyDescent="0.25">
      <c r="A80" s="52"/>
      <c r="B80" s="28" t="s">
        <v>19</v>
      </c>
      <c r="C80" s="28" t="s">
        <v>99</v>
      </c>
      <c r="D80" s="28" t="s">
        <v>12</v>
      </c>
      <c r="E80" s="43" t="s">
        <v>94</v>
      </c>
      <c r="F80" s="18">
        <f>I80+H80+G80</f>
        <v>15984.7</v>
      </c>
      <c r="G80" s="54"/>
      <c r="H80" s="11"/>
      <c r="I80" s="18">
        <f>18389-2404.3</f>
        <v>15984.7</v>
      </c>
      <c r="J80" s="63"/>
      <c r="K80" s="53"/>
    </row>
    <row r="81" spans="1:11" ht="48" customHeight="1" x14ac:dyDescent="0.25">
      <c r="A81" s="52"/>
      <c r="B81" s="28" t="s">
        <v>19</v>
      </c>
      <c r="C81" s="28" t="s">
        <v>99</v>
      </c>
      <c r="D81" s="28" t="s">
        <v>12</v>
      </c>
      <c r="E81" s="43" t="s">
        <v>62</v>
      </c>
      <c r="F81" s="18">
        <f t="shared" si="1"/>
        <v>709</v>
      </c>
      <c r="G81" s="18">
        <f>700+200-191</f>
        <v>709</v>
      </c>
      <c r="H81" s="11"/>
      <c r="I81" s="52"/>
      <c r="J81" s="63"/>
      <c r="K81" s="53"/>
    </row>
    <row r="82" spans="1:11" ht="37.5" customHeight="1" x14ac:dyDescent="0.25">
      <c r="A82" s="52"/>
      <c r="B82" s="20" t="s">
        <v>51</v>
      </c>
      <c r="C82" s="20"/>
      <c r="D82" s="20"/>
      <c r="E82" s="64" t="s">
        <v>52</v>
      </c>
      <c r="F82" s="11">
        <f>G82+H82+I82</f>
        <v>350639.5</v>
      </c>
      <c r="G82" s="11">
        <f>G84+G86+G88+G85+G83+G87</f>
        <v>21120.2</v>
      </c>
      <c r="H82" s="11">
        <f>H84+H86+H88+H85+H83+H87</f>
        <v>228915</v>
      </c>
      <c r="I82" s="11">
        <f>I84+I86+I88+I85+I83+I87</f>
        <v>100604.3</v>
      </c>
      <c r="J82" s="63"/>
      <c r="K82" s="53"/>
    </row>
    <row r="83" spans="1:11" ht="41.25" customHeight="1" x14ac:dyDescent="0.25">
      <c r="A83" s="52"/>
      <c r="B83" s="91" t="s">
        <v>51</v>
      </c>
      <c r="C83" s="17" t="s">
        <v>99</v>
      </c>
      <c r="D83" s="91" t="s">
        <v>12</v>
      </c>
      <c r="E83" s="93" t="s">
        <v>84</v>
      </c>
      <c r="F83" s="18">
        <f>G83+H83+I83</f>
        <v>82800</v>
      </c>
      <c r="G83" s="18">
        <v>2800</v>
      </c>
      <c r="H83" s="18"/>
      <c r="I83" s="18">
        <v>80000</v>
      </c>
      <c r="J83" s="63"/>
      <c r="K83" s="53"/>
    </row>
    <row r="84" spans="1:11" ht="33" customHeight="1" x14ac:dyDescent="0.25">
      <c r="A84" s="52"/>
      <c r="B84" s="91"/>
      <c r="C84" s="28" t="s">
        <v>131</v>
      </c>
      <c r="D84" s="91"/>
      <c r="E84" s="93"/>
      <c r="F84" s="18">
        <f t="shared" ref="F84:F88" si="10">G84+H84+I84</f>
        <v>134402.6</v>
      </c>
      <c r="G84" s="18">
        <v>9408.2000000000007</v>
      </c>
      <c r="H84" s="18">
        <f>92495.8+32498.6</f>
        <v>124994.4</v>
      </c>
      <c r="I84" s="52"/>
      <c r="J84" s="63"/>
      <c r="K84" s="53"/>
    </row>
    <row r="85" spans="1:11" ht="33" customHeight="1" x14ac:dyDescent="0.25">
      <c r="A85" s="52"/>
      <c r="B85" s="91"/>
      <c r="C85" s="28" t="s">
        <v>132</v>
      </c>
      <c r="D85" s="91"/>
      <c r="E85" s="93"/>
      <c r="F85" s="18">
        <f t="shared" si="10"/>
        <v>111742.6</v>
      </c>
      <c r="G85" s="18">
        <v>7822</v>
      </c>
      <c r="H85" s="18">
        <v>103920.6</v>
      </c>
      <c r="I85" s="52"/>
      <c r="J85" s="63"/>
      <c r="K85" s="53"/>
    </row>
    <row r="86" spans="1:11" ht="45" customHeight="1" x14ac:dyDescent="0.25">
      <c r="A86" s="52"/>
      <c r="B86" s="28" t="s">
        <v>51</v>
      </c>
      <c r="C86" s="28" t="s">
        <v>99</v>
      </c>
      <c r="D86" s="28" t="s">
        <v>12</v>
      </c>
      <c r="E86" s="22" t="s">
        <v>157</v>
      </c>
      <c r="F86" s="18">
        <f t="shared" si="10"/>
        <v>10604.3</v>
      </c>
      <c r="G86" s="18"/>
      <c r="H86" s="18"/>
      <c r="I86" s="18">
        <f>8200+2404.3</f>
        <v>10604.3</v>
      </c>
      <c r="J86" s="63"/>
      <c r="K86" s="53"/>
    </row>
    <row r="87" spans="1:11" ht="42.75" customHeight="1" x14ac:dyDescent="0.25">
      <c r="A87" s="52"/>
      <c r="B87" s="28" t="s">
        <v>51</v>
      </c>
      <c r="C87" s="28" t="s">
        <v>99</v>
      </c>
      <c r="D87" s="28" t="s">
        <v>12</v>
      </c>
      <c r="E87" s="22" t="s">
        <v>140</v>
      </c>
      <c r="F87" s="18">
        <f t="shared" si="10"/>
        <v>10000</v>
      </c>
      <c r="G87" s="18"/>
      <c r="H87" s="18"/>
      <c r="I87" s="18">
        <f>5000+5000</f>
        <v>10000</v>
      </c>
      <c r="J87" s="63"/>
      <c r="K87" s="53"/>
    </row>
    <row r="88" spans="1:11" ht="40.5" customHeight="1" x14ac:dyDescent="0.25">
      <c r="A88" s="52"/>
      <c r="B88" s="28" t="s">
        <v>51</v>
      </c>
      <c r="C88" s="28" t="s">
        <v>99</v>
      </c>
      <c r="D88" s="28" t="s">
        <v>12</v>
      </c>
      <c r="E88" s="22" t="s">
        <v>62</v>
      </c>
      <c r="F88" s="18">
        <f t="shared" si="10"/>
        <v>1090</v>
      </c>
      <c r="G88" s="18">
        <f>2090+500-1500</f>
        <v>1090</v>
      </c>
      <c r="H88" s="18"/>
      <c r="I88" s="52"/>
      <c r="J88" s="63"/>
      <c r="K88" s="53"/>
    </row>
    <row r="89" spans="1:11" ht="33.75" customHeight="1" x14ac:dyDescent="0.25">
      <c r="A89" s="52"/>
      <c r="B89" s="24" t="s">
        <v>90</v>
      </c>
      <c r="C89" s="65"/>
      <c r="D89" s="28"/>
      <c r="E89" s="66" t="s">
        <v>91</v>
      </c>
      <c r="F89" s="11">
        <f t="shared" ref="F89" si="11">G89+H89</f>
        <v>500</v>
      </c>
      <c r="G89" s="11">
        <f>G90</f>
        <v>500</v>
      </c>
      <c r="H89" s="11"/>
      <c r="I89" s="52"/>
      <c r="J89" s="63"/>
      <c r="K89" s="53"/>
    </row>
    <row r="90" spans="1:11" ht="40.5" customHeight="1" x14ac:dyDescent="0.25">
      <c r="A90" s="52"/>
      <c r="B90" s="28" t="s">
        <v>90</v>
      </c>
      <c r="C90" s="28" t="s">
        <v>99</v>
      </c>
      <c r="D90" s="28" t="s">
        <v>12</v>
      </c>
      <c r="E90" s="22" t="s">
        <v>87</v>
      </c>
      <c r="F90" s="18">
        <f>G90+H90</f>
        <v>500</v>
      </c>
      <c r="G90" s="18">
        <v>500</v>
      </c>
      <c r="H90" s="18"/>
      <c r="I90" s="52"/>
      <c r="J90" s="63"/>
      <c r="K90" s="53"/>
    </row>
    <row r="91" spans="1:11" ht="30" customHeight="1" x14ac:dyDescent="0.25">
      <c r="A91" s="52"/>
      <c r="B91" s="24" t="s">
        <v>34</v>
      </c>
      <c r="C91" s="28"/>
      <c r="D91" s="28"/>
      <c r="E91" s="26" t="s">
        <v>35</v>
      </c>
      <c r="F91" s="11">
        <f t="shared" si="1"/>
        <v>273968.40000000002</v>
      </c>
      <c r="G91" s="11">
        <f>G92+G96</f>
        <v>19968.400000000001</v>
      </c>
      <c r="H91" s="11">
        <f>H92</f>
        <v>254000</v>
      </c>
      <c r="I91" s="52"/>
      <c r="J91" s="53"/>
      <c r="K91" s="53"/>
    </row>
    <row r="92" spans="1:11" ht="31.5" customHeight="1" x14ac:dyDescent="0.25">
      <c r="A92" s="52"/>
      <c r="B92" s="24" t="s">
        <v>78</v>
      </c>
      <c r="C92" s="24"/>
      <c r="D92" s="24"/>
      <c r="E92" s="26" t="s">
        <v>77</v>
      </c>
      <c r="F92" s="11">
        <f t="shared" si="1"/>
        <v>273718.40000000002</v>
      </c>
      <c r="G92" s="11">
        <f>SUM(G93:G95)</f>
        <v>19718.400000000001</v>
      </c>
      <c r="H92" s="11">
        <f>SUM(H93:H95)</f>
        <v>254000</v>
      </c>
      <c r="I92" s="52"/>
      <c r="J92" s="53"/>
      <c r="K92" s="53"/>
    </row>
    <row r="93" spans="1:11" ht="33.75" customHeight="1" x14ac:dyDescent="0.25">
      <c r="A93" s="52"/>
      <c r="B93" s="91" t="s">
        <v>78</v>
      </c>
      <c r="C93" s="17" t="s">
        <v>126</v>
      </c>
      <c r="D93" s="91" t="s">
        <v>12</v>
      </c>
      <c r="E93" s="93" t="s">
        <v>86</v>
      </c>
      <c r="F93" s="18">
        <f>G93+H93</f>
        <v>254000</v>
      </c>
      <c r="G93" s="52"/>
      <c r="H93" s="18">
        <v>254000</v>
      </c>
      <c r="I93" s="52"/>
      <c r="J93" s="67"/>
      <c r="K93" s="53"/>
    </row>
    <row r="94" spans="1:11" ht="31.5" customHeight="1" x14ac:dyDescent="0.25">
      <c r="A94" s="52"/>
      <c r="B94" s="91"/>
      <c r="C94" s="17" t="s">
        <v>127</v>
      </c>
      <c r="D94" s="91"/>
      <c r="E94" s="93"/>
      <c r="F94" s="18">
        <f>G94+H94</f>
        <v>19118.400000000001</v>
      </c>
      <c r="G94" s="18">
        <f>25834-6715.6</f>
        <v>19118.400000000001</v>
      </c>
      <c r="H94" s="18"/>
      <c r="I94" s="52"/>
      <c r="J94" s="67"/>
      <c r="K94" s="53"/>
    </row>
    <row r="95" spans="1:11" ht="50.25" customHeight="1" x14ac:dyDescent="0.25">
      <c r="A95" s="52"/>
      <c r="B95" s="28" t="s">
        <v>78</v>
      </c>
      <c r="C95" s="17" t="s">
        <v>100</v>
      </c>
      <c r="D95" s="28" t="s">
        <v>12</v>
      </c>
      <c r="E95" s="43" t="s">
        <v>62</v>
      </c>
      <c r="F95" s="18">
        <f t="shared" si="1"/>
        <v>600</v>
      </c>
      <c r="G95" s="18">
        <f>3560-190-2770</f>
        <v>600</v>
      </c>
      <c r="H95" s="18"/>
      <c r="I95" s="52"/>
      <c r="J95" s="67"/>
      <c r="K95" s="53"/>
    </row>
    <row r="96" spans="1:11" ht="34.5" customHeight="1" x14ac:dyDescent="0.25">
      <c r="A96" s="52"/>
      <c r="B96" s="24" t="s">
        <v>92</v>
      </c>
      <c r="C96" s="24"/>
      <c r="D96" s="24"/>
      <c r="E96" s="26" t="s">
        <v>93</v>
      </c>
      <c r="F96" s="11">
        <f t="shared" si="1"/>
        <v>250</v>
      </c>
      <c r="G96" s="11">
        <f>SUM(G97:G97)</f>
        <v>250</v>
      </c>
      <c r="H96" s="18"/>
      <c r="I96" s="52"/>
      <c r="J96" s="67"/>
      <c r="K96" s="53"/>
    </row>
    <row r="97" spans="1:11" ht="47.25" customHeight="1" x14ac:dyDescent="0.25">
      <c r="A97" s="52"/>
      <c r="B97" s="28" t="s">
        <v>92</v>
      </c>
      <c r="C97" s="17" t="s">
        <v>79</v>
      </c>
      <c r="D97" s="28" t="s">
        <v>12</v>
      </c>
      <c r="E97" s="43" t="s">
        <v>62</v>
      </c>
      <c r="F97" s="18">
        <f t="shared" si="1"/>
        <v>250</v>
      </c>
      <c r="G97" s="18">
        <f>250</f>
        <v>250</v>
      </c>
      <c r="H97" s="18"/>
      <c r="I97" s="52"/>
      <c r="J97" s="67"/>
      <c r="K97" s="53"/>
    </row>
    <row r="98" spans="1:11" ht="31.5" customHeight="1" x14ac:dyDescent="0.25">
      <c r="A98" s="52"/>
      <c r="B98" s="20" t="s">
        <v>53</v>
      </c>
      <c r="C98" s="40"/>
      <c r="D98" s="41"/>
      <c r="E98" s="21" t="s">
        <v>54</v>
      </c>
      <c r="F98" s="11">
        <f t="shared" si="1"/>
        <v>24809</v>
      </c>
      <c r="G98" s="11">
        <f>G99</f>
        <v>4145.3</v>
      </c>
      <c r="H98" s="11">
        <f>H99</f>
        <v>20663.7</v>
      </c>
      <c r="I98" s="52"/>
      <c r="J98" s="67"/>
      <c r="K98" s="53"/>
    </row>
    <row r="99" spans="1:11" ht="31.5" customHeight="1" x14ac:dyDescent="0.25">
      <c r="A99" s="52"/>
      <c r="B99" s="20" t="s">
        <v>69</v>
      </c>
      <c r="C99" s="40"/>
      <c r="D99" s="41"/>
      <c r="E99" s="25" t="s">
        <v>70</v>
      </c>
      <c r="F99" s="11">
        <f t="shared" si="1"/>
        <v>24809</v>
      </c>
      <c r="G99" s="11">
        <f>G101+G103+G102+G100</f>
        <v>4145.3</v>
      </c>
      <c r="H99" s="11">
        <f>H101+H103+H102+H100</f>
        <v>20663.7</v>
      </c>
      <c r="I99" s="52"/>
      <c r="J99" s="67"/>
      <c r="K99" s="53"/>
    </row>
    <row r="100" spans="1:11" s="2" customFormat="1" ht="34.5" customHeight="1" x14ac:dyDescent="0.25">
      <c r="A100" s="68"/>
      <c r="B100" s="88" t="s">
        <v>69</v>
      </c>
      <c r="C100" s="17" t="s">
        <v>109</v>
      </c>
      <c r="D100" s="88" t="s">
        <v>12</v>
      </c>
      <c r="E100" s="98" t="s">
        <v>101</v>
      </c>
      <c r="F100" s="18">
        <f>H100+G100</f>
        <v>20663.7</v>
      </c>
      <c r="G100" s="68"/>
      <c r="H100" s="18">
        <v>20663.7</v>
      </c>
      <c r="I100" s="68"/>
      <c r="J100" s="69"/>
      <c r="K100" s="70"/>
    </row>
    <row r="101" spans="1:11" s="2" customFormat="1" ht="34.5" customHeight="1" x14ac:dyDescent="0.25">
      <c r="A101" s="68"/>
      <c r="B101" s="88"/>
      <c r="C101" s="17" t="s">
        <v>110</v>
      </c>
      <c r="D101" s="88"/>
      <c r="E101" s="98"/>
      <c r="F101" s="18">
        <f>G101+H101</f>
        <v>1555.3</v>
      </c>
      <c r="G101" s="18">
        <v>1555.3</v>
      </c>
      <c r="H101" s="18"/>
      <c r="I101" s="68"/>
      <c r="J101" s="69"/>
      <c r="K101" s="70"/>
    </row>
    <row r="102" spans="1:11" s="2" customFormat="1" ht="57" customHeight="1" x14ac:dyDescent="0.25">
      <c r="A102" s="68"/>
      <c r="B102" s="17" t="s">
        <v>69</v>
      </c>
      <c r="C102" s="17" t="s">
        <v>142</v>
      </c>
      <c r="D102" s="17" t="s">
        <v>12</v>
      </c>
      <c r="E102" s="46" t="s">
        <v>151</v>
      </c>
      <c r="F102" s="18">
        <f>G102+H102</f>
        <v>2400</v>
      </c>
      <c r="G102" s="18">
        <v>2400</v>
      </c>
      <c r="H102" s="18"/>
      <c r="I102" s="68"/>
      <c r="J102" s="69"/>
      <c r="K102" s="70"/>
    </row>
    <row r="103" spans="1:11" s="2" customFormat="1" ht="45" customHeight="1" x14ac:dyDescent="0.25">
      <c r="A103" s="68"/>
      <c r="B103" s="17" t="s">
        <v>69</v>
      </c>
      <c r="C103" s="17" t="s">
        <v>142</v>
      </c>
      <c r="D103" s="17" t="s">
        <v>12</v>
      </c>
      <c r="E103" s="46" t="s">
        <v>62</v>
      </c>
      <c r="F103" s="18">
        <f>G103+H103</f>
        <v>190</v>
      </c>
      <c r="G103" s="18">
        <v>190</v>
      </c>
      <c r="H103" s="18"/>
      <c r="I103" s="68"/>
      <c r="J103" s="69"/>
      <c r="K103" s="70"/>
    </row>
    <row r="104" spans="1:11" ht="41.25" customHeight="1" x14ac:dyDescent="0.25">
      <c r="A104" s="52"/>
      <c r="B104" s="90" t="s">
        <v>26</v>
      </c>
      <c r="C104" s="90"/>
      <c r="D104" s="90"/>
      <c r="E104" s="90"/>
      <c r="F104" s="11">
        <f t="shared" si="1"/>
        <v>6728.5</v>
      </c>
      <c r="G104" s="11">
        <f>G105+G109</f>
        <v>1417.5</v>
      </c>
      <c r="H104" s="11">
        <f>H105+H109</f>
        <v>5311</v>
      </c>
      <c r="I104" s="52"/>
      <c r="J104" s="71"/>
      <c r="K104" s="71"/>
    </row>
    <row r="105" spans="1:11" ht="27.75" customHeight="1" x14ac:dyDescent="0.25">
      <c r="A105" s="52"/>
      <c r="B105" s="24" t="s">
        <v>13</v>
      </c>
      <c r="C105" s="17"/>
      <c r="D105" s="17"/>
      <c r="E105" s="26" t="s">
        <v>14</v>
      </c>
      <c r="F105" s="11">
        <f t="shared" si="1"/>
        <v>1367.5</v>
      </c>
      <c r="G105" s="11">
        <f>G106</f>
        <v>1367.5</v>
      </c>
      <c r="H105" s="11"/>
      <c r="I105" s="52"/>
      <c r="J105" s="53"/>
      <c r="K105" s="53"/>
    </row>
    <row r="106" spans="1:11" ht="27.75" customHeight="1" x14ac:dyDescent="0.25">
      <c r="A106" s="52"/>
      <c r="B106" s="20" t="s">
        <v>27</v>
      </c>
      <c r="C106" s="72"/>
      <c r="D106" s="72"/>
      <c r="E106" s="21" t="s">
        <v>28</v>
      </c>
      <c r="F106" s="11">
        <f t="shared" si="1"/>
        <v>1367.5</v>
      </c>
      <c r="G106" s="11">
        <f>G107+G108</f>
        <v>1367.5</v>
      </c>
      <c r="H106" s="11"/>
      <c r="I106" s="52"/>
      <c r="J106" s="53"/>
      <c r="K106" s="53"/>
    </row>
    <row r="107" spans="1:11" ht="53.25" customHeight="1" x14ac:dyDescent="0.25">
      <c r="A107" s="52"/>
      <c r="B107" s="17" t="s">
        <v>27</v>
      </c>
      <c r="C107" s="28" t="s">
        <v>72</v>
      </c>
      <c r="D107" s="17">
        <v>200</v>
      </c>
      <c r="E107" s="22" t="s">
        <v>38</v>
      </c>
      <c r="F107" s="18">
        <f t="shared" si="1"/>
        <v>1287.5</v>
      </c>
      <c r="G107" s="56">
        <v>1287.5</v>
      </c>
      <c r="H107" s="11"/>
      <c r="I107" s="52"/>
      <c r="J107" s="67"/>
      <c r="K107" s="67"/>
    </row>
    <row r="108" spans="1:11" ht="62.25" customHeight="1" x14ac:dyDescent="0.25">
      <c r="A108" s="52"/>
      <c r="B108" s="17" t="s">
        <v>27</v>
      </c>
      <c r="C108" s="28" t="s">
        <v>72</v>
      </c>
      <c r="D108" s="17">
        <v>200</v>
      </c>
      <c r="E108" s="22" t="s">
        <v>29</v>
      </c>
      <c r="F108" s="18">
        <f t="shared" si="1"/>
        <v>80</v>
      </c>
      <c r="G108" s="56">
        <v>80</v>
      </c>
      <c r="H108" s="18"/>
      <c r="I108" s="52"/>
      <c r="J108" s="53"/>
      <c r="K108" s="53"/>
    </row>
    <row r="109" spans="1:11" ht="28.5" customHeight="1" x14ac:dyDescent="0.25">
      <c r="A109" s="52"/>
      <c r="B109" s="20" t="s">
        <v>21</v>
      </c>
      <c r="C109" s="40"/>
      <c r="D109" s="41"/>
      <c r="E109" s="21" t="s">
        <v>22</v>
      </c>
      <c r="F109" s="11">
        <f t="shared" si="1"/>
        <v>5361</v>
      </c>
      <c r="G109" s="11">
        <f>G110</f>
        <v>50</v>
      </c>
      <c r="H109" s="11">
        <f>H110</f>
        <v>5311</v>
      </c>
      <c r="I109" s="52"/>
      <c r="J109" s="53"/>
      <c r="K109" s="53"/>
    </row>
    <row r="110" spans="1:11" ht="28.5" customHeight="1" x14ac:dyDescent="0.25">
      <c r="A110" s="52"/>
      <c r="B110" s="20" t="s">
        <v>23</v>
      </c>
      <c r="C110" s="40"/>
      <c r="D110" s="41"/>
      <c r="E110" s="25" t="s">
        <v>24</v>
      </c>
      <c r="F110" s="11">
        <f t="shared" si="1"/>
        <v>5361</v>
      </c>
      <c r="G110" s="11">
        <f>SUM(G111:G112)</f>
        <v>50</v>
      </c>
      <c r="H110" s="11">
        <f>SUM(H111:H112)</f>
        <v>5311</v>
      </c>
      <c r="I110" s="52"/>
      <c r="J110" s="53"/>
      <c r="K110" s="53"/>
    </row>
    <row r="111" spans="1:11" ht="33.75" customHeight="1" x14ac:dyDescent="0.25">
      <c r="A111" s="52"/>
      <c r="B111" s="88" t="s">
        <v>23</v>
      </c>
      <c r="C111" s="17" t="s">
        <v>103</v>
      </c>
      <c r="D111" s="88" t="s">
        <v>12</v>
      </c>
      <c r="E111" s="92" t="s">
        <v>25</v>
      </c>
      <c r="F111" s="18">
        <f t="shared" si="1"/>
        <v>50</v>
      </c>
      <c r="G111" s="18">
        <v>50</v>
      </c>
      <c r="H111" s="11"/>
      <c r="I111" s="52"/>
      <c r="J111" s="53"/>
      <c r="K111" s="53"/>
    </row>
    <row r="112" spans="1:11" ht="32.25" customHeight="1" x14ac:dyDescent="0.25">
      <c r="A112" s="52"/>
      <c r="B112" s="88"/>
      <c r="C112" s="17" t="s">
        <v>102</v>
      </c>
      <c r="D112" s="88"/>
      <c r="E112" s="92"/>
      <c r="F112" s="18">
        <f>H112</f>
        <v>5311</v>
      </c>
      <c r="G112" s="18"/>
      <c r="H112" s="56">
        <f>5068+243</f>
        <v>5311</v>
      </c>
      <c r="I112" s="52"/>
      <c r="J112" s="53"/>
      <c r="K112" s="53"/>
    </row>
    <row r="113" spans="1:11" ht="40.5" customHeight="1" x14ac:dyDescent="0.25">
      <c r="A113" s="52"/>
      <c r="B113" s="90" t="s">
        <v>37</v>
      </c>
      <c r="C113" s="90"/>
      <c r="D113" s="90"/>
      <c r="E113" s="90"/>
      <c r="F113" s="11">
        <f t="shared" ref="F113:F118" si="12">G113+H113</f>
        <v>108284.9</v>
      </c>
      <c r="G113" s="11">
        <f>G114</f>
        <v>973.4</v>
      </c>
      <c r="H113" s="11">
        <f>H114</f>
        <v>107311.5</v>
      </c>
      <c r="I113" s="52"/>
      <c r="J113" s="53"/>
      <c r="K113" s="53"/>
    </row>
    <row r="114" spans="1:11" ht="23.25" customHeight="1" x14ac:dyDescent="0.25">
      <c r="A114" s="52"/>
      <c r="B114" s="20" t="s">
        <v>21</v>
      </c>
      <c r="C114" s="40"/>
      <c r="D114" s="41"/>
      <c r="E114" s="21" t="s">
        <v>22</v>
      </c>
      <c r="F114" s="11">
        <f t="shared" si="12"/>
        <v>108284.9</v>
      </c>
      <c r="G114" s="11">
        <f>G115</f>
        <v>973.4</v>
      </c>
      <c r="H114" s="11">
        <f>H115</f>
        <v>107311.5</v>
      </c>
      <c r="I114" s="52"/>
      <c r="J114" s="53"/>
      <c r="K114" s="53"/>
    </row>
    <row r="115" spans="1:11" ht="23.25" customHeight="1" x14ac:dyDescent="0.25">
      <c r="A115" s="52"/>
      <c r="B115" s="24" t="s">
        <v>23</v>
      </c>
      <c r="C115" s="73"/>
      <c r="D115" s="73"/>
      <c r="E115" s="74" t="s">
        <v>24</v>
      </c>
      <c r="F115" s="11">
        <f t="shared" si="12"/>
        <v>108284.9</v>
      </c>
      <c r="G115" s="11">
        <f>G116+G117+G118</f>
        <v>973.4</v>
      </c>
      <c r="H115" s="11">
        <f>H116+H117+H118</f>
        <v>107311.5</v>
      </c>
      <c r="I115" s="52"/>
      <c r="J115" s="53"/>
      <c r="K115" s="53"/>
    </row>
    <row r="116" spans="1:11" s="77" customFormat="1" ht="72" customHeight="1" x14ac:dyDescent="0.25">
      <c r="A116" s="75"/>
      <c r="B116" s="28" t="s">
        <v>23</v>
      </c>
      <c r="C116" s="28" t="s">
        <v>104</v>
      </c>
      <c r="D116" s="28" t="s">
        <v>11</v>
      </c>
      <c r="E116" s="76" t="s">
        <v>31</v>
      </c>
      <c r="F116" s="18">
        <f t="shared" si="12"/>
        <v>94379.4</v>
      </c>
      <c r="G116" s="18"/>
      <c r="H116" s="56">
        <v>94379.4</v>
      </c>
      <c r="I116" s="75"/>
      <c r="J116" s="53"/>
      <c r="K116" s="53"/>
    </row>
    <row r="117" spans="1:11" s="77" customFormat="1" ht="33" customHeight="1" x14ac:dyDescent="0.25">
      <c r="A117" s="75"/>
      <c r="B117" s="91" t="s">
        <v>23</v>
      </c>
      <c r="C117" s="28" t="s">
        <v>123</v>
      </c>
      <c r="D117" s="91" t="s">
        <v>11</v>
      </c>
      <c r="E117" s="92" t="s">
        <v>48</v>
      </c>
      <c r="F117" s="18">
        <f t="shared" si="12"/>
        <v>973.4</v>
      </c>
      <c r="G117" s="18">
        <v>973.4</v>
      </c>
      <c r="H117" s="56"/>
      <c r="I117" s="75"/>
      <c r="J117" s="53"/>
      <c r="K117" s="53"/>
    </row>
    <row r="118" spans="1:11" s="77" customFormat="1" ht="34.5" customHeight="1" x14ac:dyDescent="0.25">
      <c r="A118" s="75"/>
      <c r="B118" s="91"/>
      <c r="C118" s="28" t="s">
        <v>122</v>
      </c>
      <c r="D118" s="91"/>
      <c r="E118" s="92"/>
      <c r="F118" s="18">
        <f t="shared" si="12"/>
        <v>12932.1</v>
      </c>
      <c r="G118" s="18"/>
      <c r="H118" s="56">
        <v>12932.1</v>
      </c>
      <c r="I118" s="75"/>
      <c r="J118" s="53"/>
      <c r="K118" s="53"/>
    </row>
    <row r="119" spans="1:11" s="77" customFormat="1" ht="30" customHeight="1" x14ac:dyDescent="0.25">
      <c r="A119" s="75"/>
      <c r="B119" s="95" t="s">
        <v>96</v>
      </c>
      <c r="C119" s="95"/>
      <c r="D119" s="95"/>
      <c r="E119" s="95"/>
      <c r="F119" s="11">
        <f t="shared" ref="F119" si="13">G119+H119+I119</f>
        <v>3600</v>
      </c>
      <c r="G119" s="11">
        <f>G120</f>
        <v>1000</v>
      </c>
      <c r="H119" s="11">
        <f>H120</f>
        <v>2600</v>
      </c>
      <c r="I119" s="11"/>
      <c r="J119" s="53"/>
      <c r="K119" s="53"/>
    </row>
    <row r="120" spans="1:11" s="77" customFormat="1" ht="29.25" customHeight="1" x14ac:dyDescent="0.25">
      <c r="A120" s="75"/>
      <c r="B120" s="24" t="s">
        <v>13</v>
      </c>
      <c r="C120" s="17"/>
      <c r="D120" s="28"/>
      <c r="E120" s="26" t="s">
        <v>14</v>
      </c>
      <c r="F120" s="11">
        <f>G120+H120</f>
        <v>3600</v>
      </c>
      <c r="G120" s="11">
        <f>G121+G125</f>
        <v>1000</v>
      </c>
      <c r="H120" s="11">
        <f>H121+H125</f>
        <v>2600</v>
      </c>
      <c r="I120" s="75"/>
      <c r="J120" s="53"/>
      <c r="K120" s="53"/>
    </row>
    <row r="121" spans="1:11" s="77" customFormat="1" ht="29.25" customHeight="1" x14ac:dyDescent="0.25">
      <c r="A121" s="75"/>
      <c r="B121" s="24" t="s">
        <v>15</v>
      </c>
      <c r="C121" s="24"/>
      <c r="D121" s="28"/>
      <c r="E121" s="26" t="s">
        <v>16</v>
      </c>
      <c r="F121" s="11">
        <f>G121+H121</f>
        <v>3600</v>
      </c>
      <c r="G121" s="11">
        <f>G122</f>
        <v>1000</v>
      </c>
      <c r="H121" s="11">
        <f>H122</f>
        <v>2600</v>
      </c>
      <c r="I121" s="75"/>
      <c r="J121" s="53"/>
      <c r="K121" s="53"/>
    </row>
    <row r="122" spans="1:11" s="77" customFormat="1" ht="43.5" customHeight="1" x14ac:dyDescent="0.25">
      <c r="A122" s="75"/>
      <c r="B122" s="28" t="s">
        <v>15</v>
      </c>
      <c r="C122" s="28" t="s">
        <v>124</v>
      </c>
      <c r="D122" s="28" t="s">
        <v>12</v>
      </c>
      <c r="E122" s="22" t="s">
        <v>97</v>
      </c>
      <c r="F122" s="18">
        <f t="shared" ref="F122" si="14">G122+H122+I122</f>
        <v>3600</v>
      </c>
      <c r="G122" s="18">
        <v>1000</v>
      </c>
      <c r="H122" s="18">
        <v>2600</v>
      </c>
      <c r="I122" s="75"/>
      <c r="J122" s="53"/>
      <c r="K122" s="53"/>
    </row>
    <row r="123" spans="1:11" s="6" customFormat="1" ht="33.75" customHeight="1" x14ac:dyDescent="0.25">
      <c r="A123" s="49"/>
      <c r="B123" s="94" t="s">
        <v>30</v>
      </c>
      <c r="C123" s="94"/>
      <c r="D123" s="94"/>
      <c r="E123" s="78"/>
      <c r="F123" s="11">
        <f>G123+H123+I123</f>
        <v>1623512.4000000001</v>
      </c>
      <c r="G123" s="11">
        <f>SUM(G16+G104+G113+G119)</f>
        <v>452181.50000000006</v>
      </c>
      <c r="H123" s="11">
        <f>SUM(H16+H104+H113+H119)</f>
        <v>1048228.9</v>
      </c>
      <c r="I123" s="11">
        <f>SUM(I16+I104+I113+I119)</f>
        <v>123102</v>
      </c>
    </row>
    <row r="124" spans="1:11" s="6" customFormat="1" ht="16.5" x14ac:dyDescent="0.25">
      <c r="B124" s="79"/>
      <c r="C124" s="79"/>
      <c r="D124" s="79"/>
      <c r="E124" s="79"/>
      <c r="F124" s="80"/>
      <c r="G124" s="80"/>
      <c r="H124" s="80"/>
    </row>
    <row r="125" spans="1:11" x14ac:dyDescent="0.25">
      <c r="G125" s="82"/>
      <c r="H125" s="83"/>
    </row>
    <row r="126" spans="1:11" x14ac:dyDescent="0.25">
      <c r="G126" s="84"/>
    </row>
    <row r="128" spans="1:11" x14ac:dyDescent="0.25">
      <c r="G128" s="69"/>
    </row>
  </sheetData>
  <mergeCells count="54">
    <mergeCell ref="F4:I4"/>
    <mergeCell ref="B10:H10"/>
    <mergeCell ref="E5:H5"/>
    <mergeCell ref="B6:H6"/>
    <mergeCell ref="B7:H7"/>
    <mergeCell ref="B8:H8"/>
    <mergeCell ref="B9:H9"/>
    <mergeCell ref="B16:E16"/>
    <mergeCell ref="B17:E17"/>
    <mergeCell ref="B12:D12"/>
    <mergeCell ref="E12:E14"/>
    <mergeCell ref="F12:F14"/>
    <mergeCell ref="B13:B14"/>
    <mergeCell ref="C13:C14"/>
    <mergeCell ref="D13:D14"/>
    <mergeCell ref="B123:D123"/>
    <mergeCell ref="B119:E119"/>
    <mergeCell ref="G13:G14"/>
    <mergeCell ref="H13:H14"/>
    <mergeCell ref="G12:I12"/>
    <mergeCell ref="B104:E104"/>
    <mergeCell ref="B111:B112"/>
    <mergeCell ref="D111:D112"/>
    <mergeCell ref="E111:E112"/>
    <mergeCell ref="B100:B101"/>
    <mergeCell ref="D100:D101"/>
    <mergeCell ref="E100:E101"/>
    <mergeCell ref="I13:I14"/>
    <mergeCell ref="B93:B94"/>
    <mergeCell ref="D93:D94"/>
    <mergeCell ref="E93:E94"/>
    <mergeCell ref="B60:B62"/>
    <mergeCell ref="D60:D62"/>
    <mergeCell ref="E60:E62"/>
    <mergeCell ref="B113:E113"/>
    <mergeCell ref="B117:B118"/>
    <mergeCell ref="D117:D118"/>
    <mergeCell ref="E117:E118"/>
    <mergeCell ref="B83:B85"/>
    <mergeCell ref="D83:D85"/>
    <mergeCell ref="E83:E85"/>
    <mergeCell ref="E76:E77"/>
    <mergeCell ref="B76:B77"/>
    <mergeCell ref="D76:D77"/>
    <mergeCell ref="E78:E79"/>
    <mergeCell ref="B78:B79"/>
    <mergeCell ref="D78:D79"/>
    <mergeCell ref="B23:B24"/>
    <mergeCell ref="D23:D24"/>
    <mergeCell ref="E23:E24"/>
    <mergeCell ref="B52:E52"/>
    <mergeCell ref="B58:B59"/>
    <mergeCell ref="D58:D59"/>
    <mergeCell ref="E58:E59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>
    <oddHeader>&amp;C&amp;P</oddHeader>
  </headerFooter>
  <rowBreaks count="1" manualBreakCount="1">
    <brk id="12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Пользователь</cp:lastModifiedBy>
  <cp:lastPrinted>2025-08-21T15:10:01Z</cp:lastPrinted>
  <dcterms:created xsi:type="dcterms:W3CDTF">2017-11-08T08:25:33Z</dcterms:created>
  <dcterms:modified xsi:type="dcterms:W3CDTF">2025-08-21T15:10:36Z</dcterms:modified>
</cp:coreProperties>
</file>